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codeName="ThisWorkbook" defaultThemeVersion="124226"/>
  <mc:AlternateContent xmlns:mc="http://schemas.openxmlformats.org/markup-compatibility/2006">
    <mc:Choice Requires="x15">
      <x15ac:absPath xmlns:x15ac="http://schemas.microsoft.com/office/spreadsheetml/2010/11/ac" url="\\hornet\Users\l\lkitchen\adit\My Documents\2 Budget Template Updates\"/>
    </mc:Choice>
  </mc:AlternateContent>
  <xr:revisionPtr revIDLastSave="0" documentId="13_ncr:1_{3BCCC191-39B6-4A0B-8202-61008DDAC7C6}" xr6:coauthVersionLast="36" xr6:coauthVersionMax="36" xr10:uidLastSave="{00000000-0000-0000-0000-000000000000}"/>
  <bookViews>
    <workbookView xWindow="28680" yWindow="-120" windowWidth="29040" windowHeight="15840" xr2:uid="{00000000-000D-0000-FFFF-FFFF00000000}"/>
  </bookViews>
  <sheets>
    <sheet name="MinesBudgV1" sheetId="1" r:id="rId1"/>
    <sheet name="Input Tables" sheetId="4" r:id="rId2"/>
    <sheet name="Calculations Backup" sheetId="5" r:id="rId3"/>
  </sheets>
  <definedNames>
    <definedName name="_xlnm.Print_Area" localSheetId="0">MinesBudgV1!$A$1:$P$86</definedName>
    <definedName name="Project_Roles">#REF!</definedName>
  </definedNames>
  <calcPr calcId="191029"/>
</workbook>
</file>

<file path=xl/calcChain.xml><?xml version="1.0" encoding="utf-8"?>
<calcChain xmlns="http://schemas.openxmlformats.org/spreadsheetml/2006/main">
  <c r="E20" i="4" l="1"/>
  <c r="F20" i="4" s="1"/>
  <c r="G20" i="4" s="1"/>
  <c r="H20" i="4" s="1"/>
  <c r="E19" i="4"/>
  <c r="F19" i="4" s="1"/>
  <c r="G19" i="4" s="1"/>
  <c r="H19" i="4" s="1"/>
  <c r="E24" i="1" l="1"/>
  <c r="D20" i="4" l="1"/>
  <c r="D19" i="4"/>
  <c r="D18" i="4"/>
  <c r="E18" i="4" s="1"/>
  <c r="F18" i="4" s="1"/>
  <c r="G18" i="4" s="1"/>
  <c r="H18" i="4" s="1"/>
  <c r="E17" i="4"/>
  <c r="F17" i="4" s="1"/>
  <c r="G17" i="4" s="1"/>
  <c r="H17" i="4" s="1"/>
  <c r="E16" i="4"/>
  <c r="F16" i="4" s="1"/>
  <c r="G16" i="4" s="1"/>
  <c r="H16" i="4" s="1"/>
  <c r="E15" i="4"/>
  <c r="F15" i="4" s="1"/>
  <c r="G15" i="4" s="1"/>
  <c r="H15" i="4" s="1"/>
  <c r="E14" i="4"/>
  <c r="F14" i="4" s="1"/>
  <c r="G14" i="4" s="1"/>
  <c r="H14" i="4" s="1"/>
  <c r="E13" i="4"/>
  <c r="F13" i="4" s="1"/>
  <c r="G13" i="4" s="1"/>
  <c r="H13" i="4" s="1"/>
  <c r="P12" i="4"/>
  <c r="E12" i="4"/>
  <c r="F12" i="4" s="1"/>
  <c r="G12" i="4" s="1"/>
  <c r="H12" i="4" s="1"/>
  <c r="P11" i="4"/>
  <c r="E11" i="4"/>
  <c r="F11" i="4" s="1"/>
  <c r="G11" i="4" s="1"/>
  <c r="H11" i="4" s="1"/>
  <c r="P10" i="4"/>
  <c r="E10" i="4"/>
  <c r="F10" i="4" s="1"/>
  <c r="G10" i="4" s="1"/>
  <c r="H10" i="4" s="1"/>
  <c r="P9" i="4"/>
  <c r="E9" i="4"/>
  <c r="F9" i="4" s="1"/>
  <c r="G9" i="4" s="1"/>
  <c r="H9" i="4" s="1"/>
  <c r="P8" i="4"/>
  <c r="E8" i="4"/>
  <c r="F8" i="4" s="1"/>
  <c r="G8" i="4" s="1"/>
  <c r="H8" i="4" s="1"/>
  <c r="P7" i="4"/>
  <c r="F7" i="4"/>
  <c r="G7" i="4" s="1"/>
  <c r="H7" i="4" s="1"/>
  <c r="E7" i="4"/>
  <c r="P6" i="4"/>
  <c r="E6" i="4"/>
  <c r="F6" i="4" s="1"/>
  <c r="G6" i="4" s="1"/>
  <c r="H6" i="4" s="1"/>
  <c r="P5" i="4"/>
  <c r="E5" i="4"/>
  <c r="F5" i="4" s="1"/>
  <c r="G5" i="4" s="1"/>
  <c r="H5" i="4" s="1"/>
  <c r="P4" i="4"/>
  <c r="E4" i="4"/>
  <c r="F4" i="4" s="1"/>
  <c r="G4" i="4" s="1"/>
  <c r="H4" i="4" s="1"/>
  <c r="P3" i="4"/>
  <c r="E3" i="4"/>
  <c r="F3" i="4" s="1"/>
  <c r="G3" i="4" s="1"/>
  <c r="H3" i="4" s="1"/>
  <c r="I27" i="1" l="1"/>
  <c r="G27" i="1"/>
  <c r="U16" i="1"/>
  <c r="E26" i="1" s="1"/>
  <c r="I25" i="1"/>
  <c r="G25" i="1"/>
  <c r="I23" i="1"/>
  <c r="G23" i="1"/>
  <c r="E21" i="1" l="1"/>
  <c r="E19" i="1"/>
  <c r="N13" i="1" l="1"/>
  <c r="H5" i="1"/>
  <c r="H7" i="1"/>
  <c r="H9" i="1"/>
  <c r="H11" i="1"/>
  <c r="H13" i="1"/>
  <c r="J5" i="1"/>
  <c r="J7" i="1"/>
  <c r="J9" i="1"/>
  <c r="J11" i="1"/>
  <c r="J13" i="1"/>
  <c r="L5" i="1"/>
  <c r="L7" i="1"/>
  <c r="L9" i="1"/>
  <c r="L11" i="1"/>
  <c r="L13" i="1"/>
  <c r="N5" i="1"/>
  <c r="N7" i="1"/>
  <c r="N9" i="1"/>
  <c r="N11" i="1"/>
  <c r="F13" i="1"/>
  <c r="F11" i="1"/>
  <c r="F9" i="1"/>
  <c r="F7" i="1"/>
  <c r="F5" i="1"/>
  <c r="G21" i="1" l="1"/>
  <c r="I21" i="1" s="1"/>
  <c r="K21" i="1" s="1"/>
  <c r="M21" i="1" s="1"/>
  <c r="G19" i="1"/>
  <c r="I19" i="1" s="1"/>
  <c r="K19" i="1" s="1"/>
  <c r="M19" i="1" s="1"/>
  <c r="E13" i="1"/>
  <c r="G13" i="1" s="1"/>
  <c r="I13" i="1" s="1"/>
  <c r="K13" i="1" s="1"/>
  <c r="M13" i="1" s="1"/>
  <c r="E11" i="1"/>
  <c r="G11" i="1" s="1"/>
  <c r="I11" i="1" s="1"/>
  <c r="K11" i="1" s="1"/>
  <c r="M11" i="1" s="1"/>
  <c r="E9" i="1"/>
  <c r="G9" i="1" s="1"/>
  <c r="I9" i="1" s="1"/>
  <c r="K9" i="1" s="1"/>
  <c r="M9" i="1" s="1"/>
  <c r="E7" i="1"/>
  <c r="G7" i="1" s="1"/>
  <c r="I7" i="1" s="1"/>
  <c r="K7" i="1" s="1"/>
  <c r="M7" i="1" s="1"/>
  <c r="E5" i="1"/>
  <c r="G5" i="1" s="1"/>
  <c r="I5" i="1" s="1"/>
  <c r="K5" i="1" s="1"/>
  <c r="M5" i="1" s="1"/>
  <c r="K23" i="1" l="1"/>
  <c r="M23" i="1" s="1"/>
  <c r="V17" i="1"/>
  <c r="G24" i="1" l="1"/>
  <c r="I24" i="1" s="1"/>
  <c r="K24" i="1" s="1"/>
  <c r="M24" i="1" s="1"/>
  <c r="D74" i="1" l="1"/>
  <c r="I27" i="4"/>
  <c r="O80" i="1" l="1"/>
  <c r="O79" i="1"/>
  <c r="N91" i="1" l="1"/>
  <c r="L91" i="1"/>
  <c r="J91" i="1"/>
  <c r="H91" i="1"/>
  <c r="F91" i="1"/>
  <c r="F90" i="1"/>
  <c r="N90" i="1"/>
  <c r="L90" i="1"/>
  <c r="J90" i="1"/>
  <c r="H90" i="1"/>
  <c r="AA15" i="1" l="1"/>
  <c r="D21" i="1" l="1"/>
  <c r="D19" i="1"/>
  <c r="D13" i="1"/>
  <c r="D11" i="1"/>
  <c r="D9" i="1"/>
  <c r="D7" i="1"/>
  <c r="M38" i="1" l="1"/>
  <c r="K38" i="1"/>
  <c r="I38" i="1"/>
  <c r="G38" i="1"/>
  <c r="E45" i="1"/>
  <c r="AA17" i="1" l="1"/>
  <c r="U17" i="1"/>
  <c r="E28" i="1" s="1"/>
  <c r="P28" i="1"/>
  <c r="P26" i="1"/>
  <c r="D24" i="1"/>
  <c r="E10" i="1"/>
  <c r="E12" i="1"/>
  <c r="N6" i="1"/>
  <c r="M8" i="1"/>
  <c r="N8" i="1"/>
  <c r="M10" i="1"/>
  <c r="N10" i="1"/>
  <c r="M12" i="1"/>
  <c r="N12" i="1"/>
  <c r="M14" i="1"/>
  <c r="N14" i="1"/>
  <c r="M20" i="1"/>
  <c r="M22" i="1"/>
  <c r="N29" i="1"/>
  <c r="N30" i="1"/>
  <c r="M40" i="1"/>
  <c r="N40" i="1"/>
  <c r="M45" i="1"/>
  <c r="N45" i="1"/>
  <c r="M58" i="1"/>
  <c r="M60" i="1"/>
  <c r="M62" i="1"/>
  <c r="M64" i="1"/>
  <c r="M66" i="1"/>
  <c r="M67" i="1"/>
  <c r="N67" i="1"/>
  <c r="M81" i="1"/>
  <c r="M87" i="1"/>
  <c r="E27" i="1" l="1"/>
  <c r="M27" i="1" s="1"/>
  <c r="G28" i="1"/>
  <c r="I28" i="1" s="1"/>
  <c r="K28" i="1" s="1"/>
  <c r="M28" i="1" s="1"/>
  <c r="G26" i="1"/>
  <c r="I26" i="1" s="1"/>
  <c r="K26" i="1" s="1"/>
  <c r="M26" i="1" s="1"/>
  <c r="K25" i="1"/>
  <c r="M25" i="1" s="1"/>
  <c r="V15" i="1"/>
  <c r="E23" i="1" s="1"/>
  <c r="N16" i="1"/>
  <c r="N34" i="1" s="1"/>
  <c r="AA16" i="1"/>
  <c r="N15" i="1"/>
  <c r="N33" i="1" s="1"/>
  <c r="D28" i="1"/>
  <c r="D26" i="1"/>
  <c r="V16" i="1"/>
  <c r="D23" i="1"/>
  <c r="D25" i="1" l="1"/>
  <c r="E25" i="1"/>
  <c r="K27" i="1"/>
  <c r="O27" i="1" s="1"/>
  <c r="N35" i="1"/>
  <c r="N69" i="1" s="1"/>
  <c r="N71" i="1" s="1"/>
  <c r="D27" i="1"/>
  <c r="O28" i="1"/>
  <c r="O26" i="1"/>
  <c r="O24" i="1"/>
  <c r="D5" i="1" l="1"/>
  <c r="Y5" i="1" l="1"/>
  <c r="K81" i="1"/>
  <c r="X5" i="1" s="1"/>
  <c r="I81" i="1"/>
  <c r="W5" i="1" s="1"/>
  <c r="G81" i="1"/>
  <c r="V5" i="1" s="1"/>
  <c r="E81" i="1"/>
  <c r="U5" i="1" l="1"/>
  <c r="O81" i="1"/>
  <c r="AA4" i="1" s="1"/>
  <c r="V46" i="1"/>
  <c r="W46" i="1"/>
  <c r="U46" i="1"/>
  <c r="E38" i="1" l="1"/>
  <c r="E40" i="1" s="1"/>
  <c r="Q6" i="1"/>
  <c r="O38" i="1" l="1"/>
  <c r="N74" i="1"/>
  <c r="N83" i="1" l="1"/>
  <c r="N76" i="1"/>
  <c r="D102" i="1"/>
  <c r="O102" i="1"/>
  <c r="P102" i="1"/>
  <c r="D103" i="1"/>
  <c r="O103" i="1"/>
  <c r="P103" i="1"/>
  <c r="L67" i="1"/>
  <c r="K67" i="1"/>
  <c r="J67" i="1"/>
  <c r="I67" i="1"/>
  <c r="H67" i="1"/>
  <c r="G67" i="1"/>
  <c r="F67" i="1"/>
  <c r="E67" i="1"/>
  <c r="K66" i="1"/>
  <c r="I66" i="1"/>
  <c r="G66" i="1"/>
  <c r="E66" i="1"/>
  <c r="P65" i="1"/>
  <c r="O65" i="1"/>
  <c r="S65" i="1" s="1"/>
  <c r="E64" i="1"/>
  <c r="G64" i="1"/>
  <c r="I64" i="1"/>
  <c r="K64" i="1"/>
  <c r="P63" i="1"/>
  <c r="O63" i="1"/>
  <c r="S63" i="1" s="1"/>
  <c r="K8" i="1"/>
  <c r="L8" i="1"/>
  <c r="K10" i="1"/>
  <c r="L10" i="1"/>
  <c r="K12" i="1"/>
  <c r="L12" i="1"/>
  <c r="K14" i="1"/>
  <c r="L14" i="1"/>
  <c r="K20" i="1"/>
  <c r="K22" i="1"/>
  <c r="L29" i="1"/>
  <c r="L30" i="1"/>
  <c r="L45" i="1"/>
  <c r="K58" i="1"/>
  <c r="K60" i="1"/>
  <c r="K62" i="1"/>
  <c r="K40" i="1"/>
  <c r="L40" i="1"/>
  <c r="K87" i="1"/>
  <c r="H10" i="1"/>
  <c r="D101" i="1"/>
  <c r="D100" i="1"/>
  <c r="D97" i="1"/>
  <c r="D98" i="1"/>
  <c r="D99" i="1"/>
  <c r="D96" i="1"/>
  <c r="P96" i="1"/>
  <c r="P97" i="1"/>
  <c r="P98" i="1"/>
  <c r="P99" i="1"/>
  <c r="P100" i="1"/>
  <c r="P101" i="1"/>
  <c r="O97" i="1"/>
  <c r="O98" i="1"/>
  <c r="O99" i="1"/>
  <c r="O100" i="1"/>
  <c r="O101" i="1"/>
  <c r="O96" i="1"/>
  <c r="P56" i="1"/>
  <c r="P55" i="1"/>
  <c r="S56" i="1" s="1"/>
  <c r="I62" i="1"/>
  <c r="G62" i="1"/>
  <c r="E62" i="1"/>
  <c r="P61" i="1"/>
  <c r="O61" i="1"/>
  <c r="S61" i="1" s="1"/>
  <c r="I60" i="1"/>
  <c r="G60" i="1"/>
  <c r="E60" i="1"/>
  <c r="P59" i="1"/>
  <c r="O59" i="1"/>
  <c r="S59" i="1" s="1"/>
  <c r="Q24" i="1"/>
  <c r="Q22" i="1"/>
  <c r="Q20" i="1"/>
  <c r="Q14" i="1"/>
  <c r="Q12" i="1"/>
  <c r="Q10" i="1"/>
  <c r="Q8" i="1"/>
  <c r="H6" i="1"/>
  <c r="F6" i="1"/>
  <c r="U24" i="1"/>
  <c r="U25" i="1"/>
  <c r="U26" i="1"/>
  <c r="U27" i="1"/>
  <c r="U23" i="1"/>
  <c r="J8" i="1"/>
  <c r="I14" i="1"/>
  <c r="J14" i="1"/>
  <c r="I22" i="1"/>
  <c r="J29" i="1"/>
  <c r="J30" i="1"/>
  <c r="J45" i="1"/>
  <c r="I58" i="1"/>
  <c r="I40" i="1"/>
  <c r="J40" i="1"/>
  <c r="I87" i="1"/>
  <c r="P48" i="1"/>
  <c r="P50" i="1"/>
  <c r="P51" i="1"/>
  <c r="P52" i="1"/>
  <c r="P53" i="1"/>
  <c r="P54" i="1"/>
  <c r="P57" i="1"/>
  <c r="P38" i="1"/>
  <c r="P39" i="1"/>
  <c r="O39" i="1"/>
  <c r="O48" i="1"/>
  <c r="O49" i="1"/>
  <c r="O50" i="1"/>
  <c r="O51" i="1"/>
  <c r="O52" i="1"/>
  <c r="O53" i="1"/>
  <c r="O57" i="1"/>
  <c r="P43" i="1"/>
  <c r="P44" i="1"/>
  <c r="O44" i="1"/>
  <c r="P19" i="1"/>
  <c r="P20" i="1"/>
  <c r="P21" i="1"/>
  <c r="P22" i="1"/>
  <c r="P23" i="1"/>
  <c r="P24" i="1"/>
  <c r="P25" i="1"/>
  <c r="P27" i="1"/>
  <c r="H8" i="1"/>
  <c r="G14" i="1"/>
  <c r="H14" i="1"/>
  <c r="G22" i="1"/>
  <c r="H29" i="1"/>
  <c r="H30" i="1"/>
  <c r="H45" i="1"/>
  <c r="G58" i="1"/>
  <c r="G40" i="1"/>
  <c r="H40" i="1"/>
  <c r="G87" i="1"/>
  <c r="F14" i="1"/>
  <c r="F12" i="1"/>
  <c r="F10" i="1"/>
  <c r="H12" i="1"/>
  <c r="F45" i="1"/>
  <c r="F30" i="1"/>
  <c r="F29" i="1"/>
  <c r="F40" i="1"/>
  <c r="E87" i="1"/>
  <c r="F8" i="1"/>
  <c r="J12" i="1"/>
  <c r="J10" i="1"/>
  <c r="G8" i="1"/>
  <c r="E8" i="1"/>
  <c r="R27" i="1"/>
  <c r="R25" i="1"/>
  <c r="R24" i="1"/>
  <c r="R23" i="1"/>
  <c r="R22" i="1"/>
  <c r="R21" i="1"/>
  <c r="R20" i="1"/>
  <c r="R19" i="1"/>
  <c r="R14" i="1"/>
  <c r="R13" i="1"/>
  <c r="R12" i="1"/>
  <c r="R11" i="1"/>
  <c r="R10" i="1"/>
  <c r="R9" i="1"/>
  <c r="R8" i="1"/>
  <c r="R7" i="1"/>
  <c r="R6" i="1"/>
  <c r="R5" i="1"/>
  <c r="C19" i="1"/>
  <c r="C21" i="1"/>
  <c r="C23" i="1"/>
  <c r="E22" i="1"/>
  <c r="E20" i="1"/>
  <c r="E14" i="1"/>
  <c r="E58" i="1"/>
  <c r="C13" i="1"/>
  <c r="C27" i="1"/>
  <c r="C25" i="1"/>
  <c r="C11" i="1"/>
  <c r="C9" i="1"/>
  <c r="C7" i="1"/>
  <c r="C5" i="1"/>
  <c r="M30" i="1"/>
  <c r="G12" i="1"/>
  <c r="G10" i="1"/>
  <c r="G20" i="1"/>
  <c r="I8" i="1"/>
  <c r="I12" i="1"/>
  <c r="I10" i="1"/>
  <c r="I20" i="1"/>
  <c r="N89" i="1" l="1"/>
  <c r="L88" i="1"/>
  <c r="J88" i="1"/>
  <c r="N88" i="1"/>
  <c r="F88" i="1"/>
  <c r="H88" i="1"/>
  <c r="P9" i="1"/>
  <c r="O67" i="1"/>
  <c r="O22" i="1"/>
  <c r="P11" i="1"/>
  <c r="P29" i="1"/>
  <c r="O40" i="1"/>
  <c r="K45" i="1"/>
  <c r="G45" i="1"/>
  <c r="O25" i="1"/>
  <c r="P13" i="1"/>
  <c r="I45" i="1"/>
  <c r="P40" i="1"/>
  <c r="P30" i="1"/>
  <c r="P67" i="1"/>
  <c r="O13" i="1"/>
  <c r="O12" i="1"/>
  <c r="J15" i="1"/>
  <c r="J33" i="1" s="1"/>
  <c r="P8" i="1"/>
  <c r="P10" i="1"/>
  <c r="P7" i="1"/>
  <c r="H15" i="1"/>
  <c r="H33" i="1" s="1"/>
  <c r="P45" i="1"/>
  <c r="P12" i="1"/>
  <c r="P90" i="1"/>
  <c r="P14" i="1"/>
  <c r="O14" i="1"/>
  <c r="O10" i="1"/>
  <c r="E30" i="1"/>
  <c r="G30" i="1"/>
  <c r="I30" i="1"/>
  <c r="O8" i="1"/>
  <c r="P91" i="1"/>
  <c r="J6" i="1"/>
  <c r="J16" i="1" s="1"/>
  <c r="J34" i="1" s="1"/>
  <c r="F15" i="1"/>
  <c r="F33" i="1" s="1"/>
  <c r="E15" i="1"/>
  <c r="E6" i="1"/>
  <c r="E16" i="1" s="1"/>
  <c r="P5" i="1"/>
  <c r="G6" i="1"/>
  <c r="G16" i="1" s="1"/>
  <c r="F16" i="1"/>
  <c r="F34" i="1" s="1"/>
  <c r="L6" i="1"/>
  <c r="L15" i="1"/>
  <c r="L33" i="1" s="1"/>
  <c r="H16" i="1"/>
  <c r="H34" i="1" s="1"/>
  <c r="K30" i="1"/>
  <c r="O20" i="1"/>
  <c r="E29" i="1"/>
  <c r="E34" i="1" l="1"/>
  <c r="N92" i="1"/>
  <c r="O21" i="1"/>
  <c r="O9" i="1"/>
  <c r="O43" i="1"/>
  <c r="O45" i="1"/>
  <c r="O19" i="1"/>
  <c r="J35" i="1"/>
  <c r="J69" i="1" s="1"/>
  <c r="G15" i="1"/>
  <c r="G34" i="1"/>
  <c r="O7" i="1"/>
  <c r="O11" i="1"/>
  <c r="H35" i="1"/>
  <c r="H69" i="1" s="1"/>
  <c r="O30" i="1"/>
  <c r="P88" i="1"/>
  <c r="P6" i="1"/>
  <c r="P33" i="1"/>
  <c r="L16" i="1"/>
  <c r="L34" i="1" s="1"/>
  <c r="L35" i="1" s="1"/>
  <c r="L69" i="1" s="1"/>
  <c r="I6" i="1"/>
  <c r="I16" i="1" s="1"/>
  <c r="I34" i="1" s="1"/>
  <c r="I15" i="1"/>
  <c r="P15" i="1"/>
  <c r="F35" i="1"/>
  <c r="E33" i="1"/>
  <c r="G29" i="1"/>
  <c r="L71" i="1" l="1"/>
  <c r="L74" i="1" s="1"/>
  <c r="L89" i="1" s="1"/>
  <c r="J71" i="1"/>
  <c r="J74" i="1" s="1"/>
  <c r="J89" i="1" s="1"/>
  <c r="H71" i="1"/>
  <c r="H74" i="1" s="1"/>
  <c r="H89" i="1" s="1"/>
  <c r="M15" i="1"/>
  <c r="M6" i="1"/>
  <c r="M16" i="1" s="1"/>
  <c r="M34" i="1" s="1"/>
  <c r="G33" i="1"/>
  <c r="G35" i="1" s="1"/>
  <c r="G69" i="1" s="1"/>
  <c r="G71" i="1" s="1"/>
  <c r="P16" i="1"/>
  <c r="Y6" i="1"/>
  <c r="P34" i="1"/>
  <c r="K6" i="1"/>
  <c r="K15" i="1"/>
  <c r="O5" i="1"/>
  <c r="F69" i="1"/>
  <c r="F71" i="1" s="1"/>
  <c r="P35" i="1"/>
  <c r="I29" i="1"/>
  <c r="I33" i="1" s="1"/>
  <c r="I35" i="1" s="1"/>
  <c r="I69" i="1" s="1"/>
  <c r="I71" i="1" s="1"/>
  <c r="M29" i="1"/>
  <c r="E35" i="1"/>
  <c r="J83" i="1" l="1"/>
  <c r="W6" i="1" s="1"/>
  <c r="J92" i="1"/>
  <c r="L76" i="1"/>
  <c r="L83" i="1"/>
  <c r="X6" i="1" s="1"/>
  <c r="L92" i="1"/>
  <c r="J76" i="1"/>
  <c r="H92" i="1"/>
  <c r="H76" i="1"/>
  <c r="H83" i="1"/>
  <c r="V6" i="1" s="1"/>
  <c r="M33" i="1"/>
  <c r="M35" i="1" s="1"/>
  <c r="M69" i="1" s="1"/>
  <c r="V2" i="1"/>
  <c r="O15" i="1"/>
  <c r="K16" i="1"/>
  <c r="P69" i="1"/>
  <c r="E69" i="1"/>
  <c r="E71" i="1" s="1"/>
  <c r="G74" i="1"/>
  <c r="V3" i="1"/>
  <c r="K29" i="1"/>
  <c r="W2" i="1"/>
  <c r="M71" i="1" l="1"/>
  <c r="M74" i="1" s="1"/>
  <c r="M76" i="1" s="1"/>
  <c r="U90" i="1" s="1"/>
  <c r="K34" i="1"/>
  <c r="O34" i="1" s="1"/>
  <c r="O16" i="1"/>
  <c r="O6" i="1"/>
  <c r="P71" i="1"/>
  <c r="F74" i="1"/>
  <c r="F89" i="1" s="1"/>
  <c r="I74" i="1"/>
  <c r="W3" i="1"/>
  <c r="V4" i="1"/>
  <c r="G76" i="1"/>
  <c r="K33" i="1"/>
  <c r="O23" i="1"/>
  <c r="U2" i="1"/>
  <c r="G86" i="1" l="1"/>
  <c r="G84" i="1" s="1"/>
  <c r="U87" i="1"/>
  <c r="F83" i="1"/>
  <c r="F76" i="1"/>
  <c r="M86" i="1"/>
  <c r="P74" i="1"/>
  <c r="P76" i="1" s="1"/>
  <c r="Y2" i="1"/>
  <c r="O29" i="1"/>
  <c r="K35" i="1"/>
  <c r="O33" i="1"/>
  <c r="E74" i="1"/>
  <c r="U3" i="1"/>
  <c r="W4" i="1"/>
  <c r="I76" i="1"/>
  <c r="I86" i="1" l="1"/>
  <c r="I84" i="1" s="1"/>
  <c r="U88" i="1"/>
  <c r="M84" i="1"/>
  <c r="E76" i="1"/>
  <c r="U86" i="1" s="1"/>
  <c r="P83" i="1"/>
  <c r="U6" i="1"/>
  <c r="F92" i="1"/>
  <c r="P92" i="1" s="1"/>
  <c r="P89" i="1"/>
  <c r="U4" i="1"/>
  <c r="K69" i="1"/>
  <c r="K71" i="1" s="1"/>
  <c r="O35" i="1"/>
  <c r="Y3" i="1"/>
  <c r="E86" i="1" l="1"/>
  <c r="Y4" i="1"/>
  <c r="X2" i="1"/>
  <c r="O69" i="1"/>
  <c r="E84" i="1" l="1"/>
  <c r="X3" i="1"/>
  <c r="K74" i="1"/>
  <c r="O74" i="1" s="1"/>
  <c r="O71" i="1"/>
  <c r="X4" i="1" l="1"/>
  <c r="K76" i="1"/>
  <c r="U89" i="1" s="1"/>
  <c r="K86" i="1" l="1"/>
  <c r="O76" i="1"/>
  <c r="AA2" i="1" s="1"/>
  <c r="O86" i="1" l="1"/>
  <c r="S55" i="1" s="1"/>
  <c r="K84" i="1"/>
  <c r="S57" i="1"/>
  <c r="AA6" i="1" l="1"/>
  <c r="O84" i="1"/>
</calcChain>
</file>

<file path=xl/sharedStrings.xml><?xml version="1.0" encoding="utf-8"?>
<sst xmlns="http://schemas.openxmlformats.org/spreadsheetml/2006/main" count="472" uniqueCount="331">
  <si>
    <t>Year 1</t>
  </si>
  <si>
    <t>Year 2</t>
  </si>
  <si>
    <t>Year 3</t>
  </si>
  <si>
    <t>Total</t>
  </si>
  <si>
    <t>A.</t>
  </si>
  <si>
    <t>1.</t>
  </si>
  <si>
    <t>2.</t>
  </si>
  <si>
    <t>3.</t>
  </si>
  <si>
    <t>4.</t>
  </si>
  <si>
    <t>B.</t>
  </si>
  <si>
    <t>5.</t>
  </si>
  <si>
    <t>Publication costs</t>
  </si>
  <si>
    <t>D.</t>
  </si>
  <si>
    <t>F.</t>
  </si>
  <si>
    <t>G.</t>
  </si>
  <si>
    <t>H.</t>
  </si>
  <si>
    <t>PERMANENT/CAPITAL EQUIPMENT</t>
  </si>
  <si>
    <t xml:space="preserve">OTHER DIRECT COSTS </t>
  </si>
  <si>
    <t>PROPOSED BUDGET</t>
  </si>
  <si>
    <t>Total Project Dates:</t>
  </si>
  <si>
    <t>Year 4</t>
  </si>
  <si>
    <t>Year 5</t>
  </si>
  <si>
    <t>Travel - Domestic</t>
  </si>
  <si>
    <t>Travel - International</t>
  </si>
  <si>
    <t>6.</t>
  </si>
  <si>
    <t>7.</t>
  </si>
  <si>
    <t>8.</t>
  </si>
  <si>
    <t>Lab Usage Fees</t>
  </si>
  <si>
    <t>AF</t>
  </si>
  <si>
    <t>F2</t>
  </si>
  <si>
    <t>F3</t>
  </si>
  <si>
    <t>Position</t>
  </si>
  <si>
    <t>Plan</t>
  </si>
  <si>
    <t>E-Class</t>
  </si>
  <si>
    <t>Academic Faculty</t>
  </si>
  <si>
    <t>PERA</t>
  </si>
  <si>
    <t>MDCP</t>
  </si>
  <si>
    <t>Converted</t>
  </si>
  <si>
    <t>Research Faculty</t>
  </si>
  <si>
    <t>RF</t>
  </si>
  <si>
    <t>R2</t>
  </si>
  <si>
    <t>Research Support</t>
  </si>
  <si>
    <t>S2</t>
  </si>
  <si>
    <t>R3</t>
  </si>
  <si>
    <t>S3</t>
  </si>
  <si>
    <t>Admin Faculty</t>
  </si>
  <si>
    <t>AD</t>
  </si>
  <si>
    <t>D2</t>
  </si>
  <si>
    <t>D3</t>
  </si>
  <si>
    <t>Classified Staff</t>
  </si>
  <si>
    <t>CF</t>
  </si>
  <si>
    <t>Benefit Ineligible</t>
  </si>
  <si>
    <t>N2 or J2</t>
  </si>
  <si>
    <t>N3 or J3</t>
  </si>
  <si>
    <t>New E-Class</t>
  </si>
  <si>
    <t>Description</t>
  </si>
  <si>
    <t>Fringe Rate</t>
  </si>
  <si>
    <t>TF</t>
  </si>
  <si>
    <t>temp faculty w/ PERA</t>
  </si>
  <si>
    <t>TH</t>
  </si>
  <si>
    <t>temp hourly w PERA</t>
  </si>
  <si>
    <t>RH</t>
  </si>
  <si>
    <t>Research Hourly w PERA</t>
  </si>
  <si>
    <t>AJ</t>
  </si>
  <si>
    <t>Adjunct faculty w/ PERA</t>
  </si>
  <si>
    <t>J2</t>
  </si>
  <si>
    <t>AJ with MDCP</t>
  </si>
  <si>
    <t>N2</t>
  </si>
  <si>
    <t>benefit inelgible w MDCP</t>
  </si>
  <si>
    <t>H2</t>
  </si>
  <si>
    <t>Hourly (no benefits) with MDCP</t>
  </si>
  <si>
    <t>J3</t>
  </si>
  <si>
    <t>AJ with PERA and MDCP</t>
  </si>
  <si>
    <t>N3</t>
  </si>
  <si>
    <t>benefit inelgible Converts</t>
  </si>
  <si>
    <t>H3</t>
  </si>
  <si>
    <t>Hrly (no bene) PERA and MDCP</t>
  </si>
  <si>
    <t>Escalation</t>
  </si>
  <si>
    <t>Mines Fiscal Year</t>
  </si>
  <si>
    <t xml:space="preserve">Department </t>
  </si>
  <si>
    <t xml:space="preserve">Applied Mathematics &amp; Statistics </t>
  </si>
  <si>
    <t>Chemical &amp; Biological Engineering</t>
  </si>
  <si>
    <t>Chemistry</t>
  </si>
  <si>
    <t>Civil &amp; Environmental Engineering</t>
  </si>
  <si>
    <t>Colorado Geological Survey</t>
  </si>
  <si>
    <t>Computer Science</t>
  </si>
  <si>
    <t>Econ &amp; Business</t>
  </si>
  <si>
    <t>Electrical Engineering</t>
  </si>
  <si>
    <t>Geophysics</t>
  </si>
  <si>
    <t>Mechanical Engineering</t>
  </si>
  <si>
    <t>Metallurgy &amp; Materials Engineering</t>
  </si>
  <si>
    <t>Mining Engineering</t>
  </si>
  <si>
    <t>Petroleum Engineering</t>
  </si>
  <si>
    <t>Physics</t>
  </si>
  <si>
    <t>% AY</t>
  </si>
  <si>
    <t>Cost per Trip</t>
  </si>
  <si>
    <t>Banner Codes</t>
  </si>
  <si>
    <t># Days</t>
  </si>
  <si>
    <t># Travelers</t>
  </si>
  <si>
    <t>I.</t>
  </si>
  <si>
    <t>Flight/Traveler</t>
  </si>
  <si>
    <t>Vehicle/Traveler</t>
  </si>
  <si>
    <t>Per Diem/Traveler</t>
  </si>
  <si>
    <t>N/A</t>
  </si>
  <si>
    <t>Salary</t>
  </si>
  <si>
    <t>PI</t>
  </si>
  <si>
    <t>Co-PI</t>
  </si>
  <si>
    <t>5507</t>
  </si>
  <si>
    <t>5511</t>
  </si>
  <si>
    <t>5416P</t>
  </si>
  <si>
    <t>5125</t>
  </si>
  <si>
    <t>5304</t>
  </si>
  <si>
    <t>5306</t>
  </si>
  <si>
    <t>5317</t>
  </si>
  <si>
    <t>5801</t>
  </si>
  <si>
    <t>5906</t>
  </si>
  <si>
    <t>5985</t>
  </si>
  <si>
    <t>Mines Data Storage - $1,008/TB</t>
  </si>
  <si>
    <t>Project Roles</t>
  </si>
  <si>
    <t>Postdoc</t>
  </si>
  <si>
    <t>Graduate Res Asst</t>
  </si>
  <si>
    <t>Undergrad Res Asst</t>
  </si>
  <si>
    <t>Name</t>
  </si>
  <si>
    <t>OTHER PERSONNEL</t>
  </si>
  <si>
    <t>SENIOR PERSONNEL</t>
  </si>
  <si>
    <t>SALARY AND FRINGE TOTALS</t>
  </si>
  <si>
    <t>Effort Type</t>
  </si>
  <si>
    <t>Fringe Type</t>
  </si>
  <si>
    <t>GRA Tuition</t>
  </si>
  <si>
    <t>None (Hourly)</t>
  </si>
  <si>
    <t>GRA</t>
  </si>
  <si>
    <t>Hourly</t>
  </si>
  <si>
    <t>Factor</t>
  </si>
  <si>
    <t>9.</t>
  </si>
  <si>
    <t>10.</t>
  </si>
  <si>
    <t>Fringe</t>
  </si>
  <si>
    <t>Calendar Days</t>
  </si>
  <si>
    <t>Summer Days</t>
  </si>
  <si>
    <t>Calendar Mos</t>
  </si>
  <si>
    <t>0.0%</t>
  </si>
  <si>
    <t>GRA Tuition (Thesis Only)</t>
  </si>
  <si>
    <t>Calendar Months</t>
  </si>
  <si>
    <t>Hours</t>
  </si>
  <si>
    <t>Co-PI Name #2</t>
  </si>
  <si>
    <t>Co-PI Name #3</t>
  </si>
  <si>
    <t>Co-PI Name #4</t>
  </si>
  <si>
    <t>Select Rate/See Below</t>
  </si>
  <si>
    <t>J.</t>
  </si>
  <si>
    <t>COST SHARE</t>
  </si>
  <si>
    <t>K.</t>
  </si>
  <si>
    <t>subk &gt;$25,000</t>
  </si>
  <si>
    <t>for IDC calculations</t>
  </si>
  <si>
    <t>Select</t>
  </si>
  <si>
    <t>Yes</t>
  </si>
  <si>
    <t>No</t>
  </si>
  <si>
    <t>Co-PI Name #1</t>
  </si>
  <si>
    <t># students</t>
  </si>
  <si>
    <t>Travel Detail</t>
  </si>
  <si>
    <t>Destination</t>
  </si>
  <si>
    <t>Conf Fees/Traveler</t>
  </si>
  <si>
    <t>Domestic Per Diem (GSA)</t>
  </si>
  <si>
    <t>Intl Per Diem (State Dept)</t>
  </si>
  <si>
    <t>Acct Salary</t>
  </si>
  <si>
    <t>Acct Fringe</t>
  </si>
  <si>
    <t>Input Tables</t>
  </si>
  <si>
    <t>see right</t>
  </si>
  <si>
    <t>PERSONNEL</t>
  </si>
  <si>
    <t>SUMMARY</t>
  </si>
  <si>
    <t>Direct</t>
  </si>
  <si>
    <t>MTDC</t>
  </si>
  <si>
    <t>Indirect</t>
  </si>
  <si>
    <t>No IDC</t>
  </si>
  <si>
    <t>Other (enter rate)</t>
  </si>
  <si>
    <t>Enter rate description here</t>
  </si>
  <si>
    <t>MODIFIED TOTAL DIRECT COSTS (MTDC)</t>
  </si>
  <si>
    <t>TOTAL DIRECT COSTS (TDC)</t>
  </si>
  <si>
    <t>INDIRECT COSTS (IDC) - Applied to MTDC</t>
  </si>
  <si>
    <t>MINES PROJECT COST (TDC + IDC)</t>
  </si>
  <si>
    <t>Subtotal - Salary</t>
  </si>
  <si>
    <t>Subtotal - Fringe</t>
  </si>
  <si>
    <t>Subtotal - Personnel Costs</t>
  </si>
  <si>
    <t>Subtotal - Travel</t>
  </si>
  <si>
    <t>Subtotal - Other Direct Costs</t>
  </si>
  <si>
    <t>Subtotal - Capital Equipment</t>
  </si>
  <si>
    <t>Sr Personnel Salary</t>
  </si>
  <si>
    <t>Sr Personnel Fringe</t>
  </si>
  <si>
    <t>Other Personnel Salary</t>
  </si>
  <si>
    <t>Other Personnel Fringe</t>
  </si>
  <si>
    <t>TOTAL PROJECT COST</t>
  </si>
  <si>
    <t>Total Hotel/Traveler</t>
  </si>
  <si>
    <t>MINES TOTAL</t>
  </si>
  <si>
    <t>TOTAL W/ CS</t>
  </si>
  <si>
    <t>Sr Personnel</t>
  </si>
  <si>
    <t>Federal Off-Campus - 26.0</t>
  </si>
  <si>
    <t>Instruction Off-Campus - 26.0</t>
  </si>
  <si>
    <t>Current NIH Salary Cap</t>
  </si>
  <si>
    <t>DI&amp;A Workshops</t>
  </si>
  <si>
    <t>Sponsor</t>
  </si>
  <si>
    <t>Cost Share</t>
  </si>
  <si>
    <t>3rd Party Cost Share</t>
  </si>
  <si>
    <t>PI Name</t>
  </si>
  <si>
    <t>Cost Share %AY</t>
  </si>
  <si>
    <t>Cost Share Type</t>
  </si>
  <si>
    <t>In Kind</t>
  </si>
  <si>
    <t>Total Cost Share</t>
  </si>
  <si>
    <t>Internal Cash</t>
  </si>
  <si>
    <t>Internal In Kind</t>
  </si>
  <si>
    <t>cash</t>
  </si>
  <si>
    <t>in kind</t>
  </si>
  <si>
    <t>External Cash</t>
  </si>
  <si>
    <t>External In Kind</t>
  </si>
  <si>
    <t>[Subk Institution]</t>
  </si>
  <si>
    <t>[3rd Party Institution]</t>
  </si>
  <si>
    <t>cost share breakout</t>
  </si>
  <si>
    <t>3rd party and subk breakout (only when type=both)</t>
  </si>
  <si>
    <t>https://www.mines.edu/graduate-studies/graduate-assistantship/</t>
  </si>
  <si>
    <t>Federal On-Campus - 51.5</t>
  </si>
  <si>
    <t>Industry On-Campus - 63.7</t>
  </si>
  <si>
    <t>Industry Off-Campus - 38.2</t>
  </si>
  <si>
    <t>Instruction On-Campus - 51.0</t>
  </si>
  <si>
    <t>FY2022-FY2025 Agreement</t>
  </si>
  <si>
    <t>signed 6/7/2021</t>
  </si>
  <si>
    <t>Geology &amp; Geological Engineering</t>
  </si>
  <si>
    <t>Engineering, Design, &amp; Society</t>
  </si>
  <si>
    <t>Salaries and Wages</t>
  </si>
  <si>
    <r>
      <t>Academic faculty</t>
    </r>
    <r>
      <rPr>
        <sz val="11"/>
        <rFont val="Calibri"/>
        <family val="2"/>
      </rPr>
      <t xml:space="preserve"> salaries are based on 8.54 months or 37 weeks; summer is based on 3.46 months or 15 weeks. </t>
    </r>
  </si>
  <si>
    <t xml:space="preserve">Therefore, to obtain a month of academic year salary, the yearly salary should be divided by 8.54. </t>
  </si>
  <si>
    <r>
      <t>Academic monthly salary</t>
    </r>
    <r>
      <rPr>
        <sz val="11"/>
        <rFont val="Calibri"/>
        <family val="2"/>
      </rPr>
      <t xml:space="preserve"> Calculation:  (yearly salary) divided by 8.54</t>
    </r>
  </si>
  <si>
    <t>=$92000/8.54 = $10, 772.83 salary for one month of effort</t>
  </si>
  <si>
    <r>
      <t>Academic daily rate</t>
    </r>
    <r>
      <rPr>
        <sz val="11"/>
        <rFont val="Calibri"/>
        <family val="2"/>
      </rPr>
      <t xml:space="preserve"> Calculation: most commonly used (yearly salary) X (one day effort) X (numbers of days of effort)</t>
    </r>
  </si>
  <si>
    <t>=($92,000 X .00541  X 5 days of summer) = $2488.60  total salary for 5 days of summer effort</t>
  </si>
  <si>
    <r>
      <t>Academic hourly rate</t>
    </r>
    <r>
      <rPr>
        <sz val="11"/>
        <rFont val="Calibri"/>
        <family val="2"/>
      </rPr>
      <t xml:space="preserve"> Calculation:  (yearly salary) X (one day effort)/8</t>
    </r>
  </si>
  <si>
    <t>=($92,000) X (.00541)= $497.72 daily rate divided by 8 = $62.22 hourly  rate</t>
  </si>
  <si>
    <t>=(daily rate) divided by 8= hourly rate</t>
  </si>
  <si>
    <t>********************************************************************</t>
  </si>
  <si>
    <r>
      <t>Academic percentage</t>
    </r>
    <r>
      <rPr>
        <sz val="11"/>
        <rFont val="Calibri"/>
        <family val="2"/>
      </rPr>
      <t xml:space="preserve"> of Academic Year: (yearly salary) X (percent of effort)</t>
    </r>
  </si>
  <si>
    <t>=($92,000) X (10% or .1)= $9200</t>
  </si>
  <si>
    <t xml:space="preserve">Percentage of Academic year is used for class charge out or when the PI agrees not to be paid a salary, the department will receive this money.  </t>
  </si>
  <si>
    <t>*******************************************************************</t>
  </si>
  <si>
    <t>There are 70 work days in the summer and 5 work days over the winter break for which a PI can budget for research activities.</t>
  </si>
  <si>
    <t>******************************************************************</t>
  </si>
  <si>
    <t xml:space="preserve"> Therefore, to obtain a month of salary for these types of individuals, the salary should be divided by the number of months in the contract period. </t>
  </si>
  <si>
    <r>
      <t>Research monthly salary</t>
    </r>
    <r>
      <rPr>
        <sz val="11"/>
        <rFont val="Calibri"/>
        <family val="2"/>
      </rPr>
      <t xml:space="preserve"> Calculation:  (yearly salary) divided by 12</t>
    </r>
  </si>
  <si>
    <t>=92000/12= $7,666.67 salary for one month of effort</t>
  </si>
  <si>
    <r>
      <t>Research daily rate</t>
    </r>
    <r>
      <rPr>
        <sz val="11"/>
        <rFont val="Calibri"/>
        <family val="2"/>
      </rPr>
      <t xml:space="preserve"> Calculation:  (yearly salary) X (one day effort) X (numbers of days of effort)</t>
    </r>
  </si>
  <si>
    <t>=($92,000 X .00385  X 5 days ) = $1771  total salary for 5 days of effort</t>
  </si>
  <si>
    <r>
      <t>Research hourly rate</t>
    </r>
    <r>
      <rPr>
        <sz val="11"/>
        <rFont val="Calibri"/>
        <family val="2"/>
      </rPr>
      <t xml:space="preserve"> Calculation:  (yearly salary) X (one day effort)/8</t>
    </r>
  </si>
  <si>
    <t>=($92,000) X (.00385)= $354.20 daily rate divided by 8 = $44.28 hourly  rate</t>
  </si>
  <si>
    <t>Hours, Weeks and Months:</t>
  </si>
  <si>
    <t>22 work days in a month</t>
  </si>
  <si>
    <t>173.3 work hours in a month</t>
  </si>
  <si>
    <t>15 weeks in the summer</t>
  </si>
  <si>
    <t>37 weeks in the academic year</t>
  </si>
  <si>
    <t>8.54 months in AY</t>
  </si>
  <si>
    <t>3.46 months in summer</t>
  </si>
  <si>
    <t>Mines Rate Calculations</t>
  </si>
  <si>
    <t>Target Cost Share/Year</t>
  </si>
  <si>
    <t>Cost Share Requirement:</t>
  </si>
  <si>
    <r>
      <rPr>
        <b/>
        <u/>
        <sz val="8"/>
        <color rgb="FFFF0000"/>
        <rFont val="Times New Roman"/>
        <family val="1"/>
      </rPr>
      <t>Sponsor</t>
    </r>
    <r>
      <rPr>
        <b/>
        <sz val="8"/>
        <color rgb="FFFF0000"/>
        <rFont val="Times New Roman"/>
        <family val="1"/>
      </rPr>
      <t xml:space="preserve"> %AY</t>
    </r>
  </si>
  <si>
    <t># Trips</t>
  </si>
  <si>
    <r>
      <t>Research faculty</t>
    </r>
    <r>
      <rPr>
        <sz val="11"/>
        <rFont val="Calibri"/>
        <family val="2"/>
      </rPr>
      <t xml:space="preserve">, </t>
    </r>
    <r>
      <rPr>
        <b/>
        <sz val="11"/>
        <rFont val="Calibri"/>
        <family val="2"/>
      </rPr>
      <t>research associates</t>
    </r>
    <r>
      <rPr>
        <sz val="11"/>
        <rFont val="Calibri"/>
        <family val="2"/>
      </rPr>
      <t xml:space="preserve">, and </t>
    </r>
    <r>
      <rPr>
        <b/>
        <sz val="11"/>
        <rFont val="Calibri"/>
        <family val="2"/>
      </rPr>
      <t>postdoc</t>
    </r>
    <r>
      <rPr>
        <sz val="11"/>
        <rFont val="Calibri"/>
        <family val="2"/>
      </rPr>
      <t xml:space="preserve"> salaries are based on a variety of time periods.</t>
    </r>
  </si>
  <si>
    <t>https://catalog.mines.edu/proceduresmanual/3generalproceduresfaculty/3-1employmentcontractperiodpaycalculationstenuretenuretrackteachingfaculty/</t>
  </si>
  <si>
    <t>Materials and Supplies</t>
  </si>
  <si>
    <t>Consultant Services</t>
  </si>
  <si>
    <t>Subawards/Subcontracts</t>
  </si>
  <si>
    <t>FFRDC</t>
  </si>
  <si>
    <t>Subtotal - FFRDC</t>
  </si>
  <si>
    <t>[FFRDC #1 - no cost share allowed]</t>
  </si>
  <si>
    <t>[FFRDC #2 - no cost share allowed]</t>
  </si>
  <si>
    <t>FFRDC DIRECT DISTRIBUTIONS</t>
  </si>
  <si>
    <t>FFRDC TOTAL</t>
  </si>
  <si>
    <t>Summer/ Research Days</t>
  </si>
  <si>
    <t>Non-Cost Share Budget Template</t>
  </si>
  <si>
    <t>Escalate Year 1?</t>
  </si>
  <si>
    <t>Colorado Minimum Wage</t>
  </si>
  <si>
    <t>Technician</t>
  </si>
  <si>
    <t>C</t>
  </si>
  <si>
    <t>TRAVEL</t>
  </si>
  <si>
    <t># hours</t>
  </si>
  <si>
    <t>Living expenses - living stipends or housing must be showen as salary costs NOT an Other Direct Cost</t>
  </si>
  <si>
    <t>Summer salary is calculated on a daily basis. To obtain a daily rate, multiply the yearly salary by .00541.  (37 weeks = 185 days; 1/185 = 0.00541)</t>
  </si>
  <si>
    <t xml:space="preserve">For an hourly rate, divide the daily rate by 8 hours. </t>
  </si>
  <si>
    <t>Refer to Mines' annual escalation memo to determine the correct % increase for multi-year budgets.</t>
  </si>
  <si>
    <t>To obtain a daily rate, multiply the annual salary by .00385. (2080 hours/year = 260 days/year; 1/260 = 0.00385)</t>
  </si>
  <si>
    <t>Minimum Salary</t>
  </si>
  <si>
    <t>Equivalent dropdown option</t>
  </si>
  <si>
    <t>Benefit Ineligible PERA</t>
  </si>
  <si>
    <t>Benefit Ineligible MDCP</t>
  </si>
  <si>
    <t>Benefit Ineligible Converted</t>
  </si>
  <si>
    <t>NIH Salary Cap Calculations</t>
  </si>
  <si>
    <t xml:space="preserve">NIH Salary Cap is for a full-time, 12-month base salary. </t>
  </si>
  <si>
    <t>To determine Mines AY salary cap, divide the current NIH Salary Cap by 12 and multiply by 8.54 (academic months):</t>
  </si>
  <si>
    <t>$203,700 / 12 * 8.54 = $144,967</t>
  </si>
  <si>
    <t xml:space="preserve">Therefore, academic faculty with AY salary &gt;$144,967 will be subject to the NIH Salary Cap. </t>
  </si>
  <si>
    <t>Salary above the cap (and associated fringe and indirect costs) should be shown as mandatory cost share.</t>
  </si>
  <si>
    <t>EXAMPLE:</t>
  </si>
  <si>
    <t>Academic faculty member with AY salary of $150,000 requesting 10 days of summer salary with FY23 AF fringe:</t>
  </si>
  <si>
    <t>NIH salary request: $144,967 * 0.00541 * 10 = $7,843</t>
  </si>
  <si>
    <t>NIH fringe request: $7,843 * 0.361 = $2,831</t>
  </si>
  <si>
    <t>NIH IDC request: ($7,843 + $2,831) * 0.515 = $5,497</t>
  </si>
  <si>
    <t>Total NIH request: $16,171</t>
  </si>
  <si>
    <t>Salary cost share: ($150,000 - $144,967) * 0.00541 * 10 = $272</t>
  </si>
  <si>
    <t>Fringe cost share: $272 * 0.361 = $98</t>
  </si>
  <si>
    <t>IDC cost share: ($272 + $98) * 0.515 = $191</t>
  </si>
  <si>
    <t>Total cost share:  $561</t>
  </si>
  <si>
    <t>GRA Tuition (Fellowship)</t>
  </si>
  <si>
    <t>Cash</t>
  </si>
  <si>
    <t>Both</t>
  </si>
  <si>
    <t>Humanities, Arts, and Social Sciences</t>
  </si>
  <si>
    <t>Salary Escalation</t>
  </si>
  <si>
    <t>Travel Detail?</t>
  </si>
  <si>
    <t>Graduate Student Salaries - AY 2023-2024*</t>
  </si>
  <si>
    <t>*FY2024 minimum (effective 7/1/2023 for AY23-24):</t>
  </si>
  <si>
    <t>FY2025 minimum (AY24-25):</t>
  </si>
  <si>
    <t>FY2026 minimum (AY25-26):</t>
  </si>
  <si>
    <t>CY2023 Mileage (Fed $0.655/State $0.59)</t>
  </si>
  <si>
    <t>Academic Faculty PERA - 37.0</t>
  </si>
  <si>
    <t>Academic Faculty MDCP - 30.2</t>
  </si>
  <si>
    <t>Academic Faculty Converted - 38.6</t>
  </si>
  <si>
    <t>Research Faculty PERA - 37.7</t>
  </si>
  <si>
    <t>Research Faculty MDCP - 30.3</t>
  </si>
  <si>
    <t>Research Support MDCP - 30.3</t>
  </si>
  <si>
    <t>Research Faculty Converted - 39.9</t>
  </si>
  <si>
    <t>Research Support Converted - 39.9</t>
  </si>
  <si>
    <t>Admin Faculty PERA - 38.7</t>
  </si>
  <si>
    <t>Admin Faculty MDCP - 29.7</t>
  </si>
  <si>
    <t>Admin Faculty Converted - 40.0</t>
  </si>
  <si>
    <t>Classified Staff - 40.7</t>
  </si>
  <si>
    <t>Benefit Ineligible PERA - 24.1</t>
  </si>
  <si>
    <t>Benefit Ineligible MDCP - 14.0</t>
  </si>
  <si>
    <t>Benefit Ineligible Converted - 23.8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</si>
</sst>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
    <numFmt numFmtId="165" formatCode="0.0%"/>
    <numFmt numFmtId="166" formatCode="&quot;$&quot;#,##0.00"/>
    <numFmt numFmtId="167" formatCode="0.00000"/>
    <numFmt numFmtId="168" formatCode="0.0"/>
  </numFmts>
  <fonts count="45"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0"/>
      <name val="Times New Roman"/>
      <family val="1"/>
    </font>
    <font>
      <sz val="10"/>
      <name val="Times New Roman"/>
      <family val="1"/>
    </font>
    <font>
      <u/>
      <sz val="10"/>
      <name val="Times New Roman"/>
      <family val="1"/>
    </font>
    <font>
      <b/>
      <sz val="11"/>
      <name val="Times New Roman"/>
      <family val="1"/>
    </font>
    <font>
      <b/>
      <sz val="11"/>
      <name val="Arial"/>
      <family val="2"/>
    </font>
    <font>
      <b/>
      <u val="double"/>
      <sz val="11"/>
      <name val="Times New Roman"/>
      <family val="1"/>
    </font>
    <font>
      <sz val="11"/>
      <name val="Times New Roman"/>
      <family val="1"/>
    </font>
    <font>
      <sz val="10"/>
      <name val="Arial"/>
      <family val="2"/>
    </font>
    <font>
      <sz val="9"/>
      <name val="Times New Roman"/>
      <family val="1"/>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theme="1"/>
      <name val="Calibri"/>
      <family val="2"/>
    </font>
    <font>
      <sz val="11"/>
      <name val="Calibri"/>
      <family val="2"/>
      <scheme val="minor"/>
    </font>
    <font>
      <b/>
      <sz val="11"/>
      <name val="Calibri"/>
      <family val="2"/>
      <scheme val="minor"/>
    </font>
    <font>
      <b/>
      <sz val="9"/>
      <name val="Times New Roman"/>
      <family val="1"/>
    </font>
    <font>
      <sz val="11"/>
      <name val="Calibri"/>
      <family val="2"/>
    </font>
    <font>
      <sz val="10"/>
      <color theme="0" tint="-0.249977111117893"/>
      <name val="Times New Roman"/>
      <family val="1"/>
    </font>
    <font>
      <u/>
      <sz val="12"/>
      <color theme="10"/>
      <name val="Arial"/>
      <family val="2"/>
    </font>
    <font>
      <u/>
      <sz val="10"/>
      <color theme="10"/>
      <name val="Times New Roman"/>
      <family val="1"/>
    </font>
    <font>
      <b/>
      <sz val="11"/>
      <color theme="1"/>
      <name val="Calibri"/>
      <family val="2"/>
    </font>
    <font>
      <sz val="10"/>
      <color theme="0"/>
      <name val="Times New Roman"/>
      <family val="1"/>
    </font>
    <font>
      <u/>
      <sz val="9"/>
      <color theme="10"/>
      <name val="Times New Roman"/>
      <family val="1"/>
    </font>
    <font>
      <b/>
      <sz val="8"/>
      <name val="Times New Roman"/>
      <family val="1"/>
    </font>
    <font>
      <b/>
      <sz val="10"/>
      <color rgb="FFFF0000"/>
      <name val="Times New Roman"/>
      <family val="1"/>
    </font>
    <font>
      <b/>
      <sz val="8"/>
      <color rgb="FFFF0000"/>
      <name val="Times New Roman"/>
      <family val="1"/>
    </font>
    <font>
      <sz val="10"/>
      <name val="Calibri"/>
      <family val="2"/>
      <scheme val="minor"/>
    </font>
    <font>
      <u/>
      <sz val="11"/>
      <color theme="10"/>
      <name val="Calibri"/>
      <family val="2"/>
      <scheme val="minor"/>
    </font>
    <font>
      <sz val="11"/>
      <color rgb="FF000000"/>
      <name val="Calibri"/>
      <family val="2"/>
    </font>
    <font>
      <u/>
      <sz val="9"/>
      <name val="Times New Roman"/>
      <family val="1"/>
    </font>
    <font>
      <b/>
      <u/>
      <sz val="11"/>
      <name val="Times New Roman"/>
      <family val="1"/>
    </font>
    <font>
      <b/>
      <sz val="12"/>
      <name val="Calibri"/>
      <family val="2"/>
    </font>
    <font>
      <b/>
      <sz val="11"/>
      <name val="Calibri"/>
      <family val="2"/>
    </font>
    <font>
      <u/>
      <sz val="11"/>
      <name val="Calibri"/>
      <family val="2"/>
    </font>
    <font>
      <b/>
      <u/>
      <sz val="8"/>
      <color rgb="FFFF0000"/>
      <name val="Times New Roman"/>
      <family val="1"/>
    </font>
    <font>
      <u/>
      <sz val="11"/>
      <color theme="10"/>
      <name val="Arial"/>
      <family val="2"/>
    </font>
    <font>
      <b/>
      <sz val="12"/>
      <name val="Arial"/>
      <family val="2"/>
    </font>
    <font>
      <b/>
      <sz val="9"/>
      <color theme="1"/>
      <name val="Calibri"/>
      <family val="2"/>
      <scheme val="minor"/>
    </font>
    <font>
      <sz val="9"/>
      <name val="Calibri"/>
      <family val="2"/>
      <scheme val="minor"/>
    </font>
  </fonts>
  <fills count="14">
    <fill>
      <patternFill patternType="none"/>
    </fill>
    <fill>
      <patternFill patternType="gray125"/>
    </fill>
    <fill>
      <patternFill patternType="solid">
        <fgColor theme="4" tint="0.59999389629810485"/>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s>
  <borders count="4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bottom style="thin">
        <color rgb="FFFF0000"/>
      </bottom>
      <diagonal/>
    </border>
    <border>
      <left/>
      <right style="thin">
        <color rgb="FFFF0000"/>
      </right>
      <top/>
      <bottom style="thin">
        <color rgb="FFFF0000"/>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rgb="FFFF0000"/>
      </bottom>
      <diagonal/>
    </border>
    <border>
      <left style="thin">
        <color theme="0" tint="-0.14999847407452621"/>
      </left>
      <right style="thin">
        <color rgb="FFFF0000"/>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rgb="FFFF0000"/>
      </bottom>
      <diagonal/>
    </border>
    <border>
      <left/>
      <right/>
      <top style="thin">
        <color rgb="FFFF0000"/>
      </top>
      <bottom style="thin">
        <color theme="0" tint="-0.14999847407452621"/>
      </bottom>
      <diagonal/>
    </border>
    <border>
      <left/>
      <right style="thin">
        <color theme="0" tint="-0.14999847407452621"/>
      </right>
      <top/>
      <bottom style="thin">
        <color indexed="64"/>
      </bottom>
      <diagonal/>
    </border>
    <border>
      <left style="thin">
        <color theme="0" tint="-0.14999847407452621"/>
      </left>
      <right/>
      <top/>
      <bottom style="thin">
        <color indexed="64"/>
      </bottom>
      <diagonal/>
    </border>
    <border>
      <left style="thin">
        <color theme="0" tint="-0.14999847407452621"/>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rgb="FFA3A3A3"/>
      </left>
      <right style="medium">
        <color rgb="FFA3A3A3"/>
      </right>
      <top style="medium">
        <color rgb="FFA3A3A3"/>
      </top>
      <bottom style="medium">
        <color rgb="FFA3A3A3"/>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2">
    <xf numFmtId="3" fontId="0" fillId="0" borderId="0"/>
    <xf numFmtId="0" fontId="14"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44" fontId="14" fillId="0" borderId="0" applyFont="0" applyFill="0" applyBorder="0" applyAlignment="0" applyProtection="0"/>
    <xf numFmtId="9" fontId="14" fillId="0" borderId="0" applyFont="0" applyFill="0" applyBorder="0" applyAlignment="0" applyProtection="0"/>
    <xf numFmtId="3" fontId="24" fillId="0" borderId="0" applyNumberFormat="0" applyFill="0" applyBorder="0" applyAlignment="0" applyProtection="0"/>
    <xf numFmtId="0" fontId="3" fillId="2"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253">
    <xf numFmtId="3" fontId="0" fillId="0" borderId="0" xfId="0"/>
    <xf numFmtId="3" fontId="17" fillId="0" borderId="0" xfId="0" applyFont="1"/>
    <xf numFmtId="0" fontId="17" fillId="0" borderId="0" xfId="7" applyNumberFormat="1" applyFont="1" applyAlignment="1">
      <alignment horizontal="center"/>
    </xf>
    <xf numFmtId="0" fontId="17" fillId="0" borderId="0" xfId="0" applyNumberFormat="1" applyFont="1" applyAlignment="1">
      <alignment horizontal="center"/>
    </xf>
    <xf numFmtId="3" fontId="18" fillId="0" borderId="2" xfId="0" applyFont="1" applyBorder="1" applyAlignment="1">
      <alignment vertical="center" wrapText="1"/>
    </xf>
    <xf numFmtId="165" fontId="0" fillId="0" borderId="0" xfId="7" applyNumberFormat="1" applyFont="1"/>
    <xf numFmtId="3" fontId="17" fillId="0" borderId="4" xfId="0" applyFont="1" applyBorder="1"/>
    <xf numFmtId="44" fontId="19" fillId="0" borderId="2" xfId="6" applyFont="1" applyFill="1" applyBorder="1"/>
    <xf numFmtId="3" fontId="6" fillId="0" borderId="0" xfId="0" applyFont="1" applyProtection="1">
      <protection locked="0"/>
    </xf>
    <xf numFmtId="3" fontId="4" fillId="0" borderId="0" xfId="0" applyFont="1" applyAlignment="1" applyProtection="1">
      <alignment wrapText="1"/>
      <protection locked="0"/>
    </xf>
    <xf numFmtId="3" fontId="4" fillId="0" borderId="0" xfId="0" applyFont="1" applyProtection="1">
      <protection locked="0"/>
    </xf>
    <xf numFmtId="3" fontId="7" fillId="0" borderId="1" xfId="0" applyFont="1" applyBorder="1" applyAlignment="1" applyProtection="1">
      <alignment horizontal="right"/>
      <protection locked="0"/>
    </xf>
    <xf numFmtId="3" fontId="6" fillId="0" borderId="1" xfId="0" applyFont="1" applyBorder="1" applyProtection="1">
      <protection locked="0"/>
    </xf>
    <xf numFmtId="164" fontId="6" fillId="0" borderId="1" xfId="0" applyNumberFormat="1" applyFont="1" applyBorder="1" applyProtection="1">
      <protection locked="0"/>
    </xf>
    <xf numFmtId="3" fontId="12" fillId="0" borderId="0" xfId="0" applyFont="1" applyAlignment="1" applyProtection="1">
      <alignment wrapText="1"/>
      <protection locked="0"/>
    </xf>
    <xf numFmtId="3" fontId="12" fillId="0" borderId="0" xfId="0" applyFont="1" applyProtection="1">
      <protection locked="0"/>
    </xf>
    <xf numFmtId="4" fontId="12" fillId="0" borderId="0" xfId="0" applyNumberFormat="1" applyFont="1" applyProtection="1">
      <protection locked="0"/>
    </xf>
    <xf numFmtId="164" fontId="6" fillId="7" borderId="1" xfId="0" applyNumberFormat="1" applyFont="1" applyFill="1" applyBorder="1" applyProtection="1">
      <protection locked="0"/>
    </xf>
    <xf numFmtId="164" fontId="6" fillId="7" borderId="0" xfId="0" applyNumberFormat="1" applyFont="1" applyFill="1" applyProtection="1">
      <protection locked="0"/>
    </xf>
    <xf numFmtId="164" fontId="10" fillId="0" borderId="1" xfId="0" applyNumberFormat="1" applyFont="1" applyBorder="1" applyProtection="1">
      <protection locked="0"/>
    </xf>
    <xf numFmtId="3" fontId="9" fillId="0" borderId="0" xfId="0" applyFont="1" applyProtection="1">
      <protection locked="0"/>
    </xf>
    <xf numFmtId="1" fontId="13" fillId="0" borderId="0" xfId="0" applyNumberFormat="1" applyFont="1" applyAlignment="1" applyProtection="1">
      <alignment horizontal="left"/>
      <protection locked="0"/>
    </xf>
    <xf numFmtId="1" fontId="21" fillId="7" borderId="0" xfId="0" applyNumberFormat="1" applyFont="1" applyFill="1" applyAlignment="1">
      <alignment horizontal="right"/>
    </xf>
    <xf numFmtId="3" fontId="4" fillId="9" borderId="0" xfId="0" applyFont="1" applyFill="1" applyAlignment="1" applyProtection="1">
      <alignment wrapText="1"/>
      <protection locked="0"/>
    </xf>
    <xf numFmtId="3" fontId="4" fillId="9" borderId="0" xfId="0" applyFont="1" applyFill="1" applyProtection="1">
      <protection locked="0"/>
    </xf>
    <xf numFmtId="3" fontId="6" fillId="0" borderId="0" xfId="0" applyFont="1" applyAlignment="1" applyProtection="1">
      <alignment wrapText="1"/>
      <protection locked="0"/>
    </xf>
    <xf numFmtId="0" fontId="19" fillId="0" borderId="0" xfId="7" applyNumberFormat="1" applyFont="1" applyFill="1" applyBorder="1" applyAlignment="1">
      <alignment horizontal="center" vertical="center"/>
    </xf>
    <xf numFmtId="0" fontId="19" fillId="0" borderId="0" xfId="3" applyFont="1" applyFill="1" applyBorder="1"/>
    <xf numFmtId="10" fontId="20" fillId="0" borderId="0" xfId="3" applyNumberFormat="1" applyFont="1" applyFill="1" applyBorder="1"/>
    <xf numFmtId="3" fontId="22" fillId="0" borderId="0" xfId="0" applyFont="1" applyAlignment="1">
      <alignment vertical="center" wrapText="1"/>
    </xf>
    <xf numFmtId="0" fontId="0" fillId="0" borderId="0" xfId="0" applyNumberFormat="1"/>
    <xf numFmtId="3" fontId="5" fillId="0" borderId="0" xfId="0" applyFont="1" applyAlignment="1" applyProtection="1">
      <alignment wrapText="1"/>
      <protection locked="0"/>
    </xf>
    <xf numFmtId="165" fontId="0" fillId="0" borderId="0" xfId="0" applyNumberFormat="1"/>
    <xf numFmtId="3" fontId="6" fillId="10" borderId="0" xfId="0" applyFont="1" applyFill="1" applyAlignment="1" applyProtection="1">
      <alignment wrapText="1"/>
      <protection locked="0"/>
    </xf>
    <xf numFmtId="166" fontId="6" fillId="10" borderId="0" xfId="0" applyNumberFormat="1" applyFont="1" applyFill="1" applyAlignment="1" applyProtection="1">
      <alignment wrapText="1"/>
      <protection locked="0"/>
    </xf>
    <xf numFmtId="1" fontId="13" fillId="10" borderId="0" xfId="0" applyNumberFormat="1" applyFont="1" applyFill="1" applyAlignment="1" applyProtection="1">
      <alignment horizontal="left"/>
      <protection locked="0"/>
    </xf>
    <xf numFmtId="1" fontId="6" fillId="10" borderId="0" xfId="0" applyNumberFormat="1" applyFont="1" applyFill="1" applyProtection="1">
      <protection locked="0"/>
    </xf>
    <xf numFmtId="3" fontId="6" fillId="9" borderId="12" xfId="0" applyFont="1" applyFill="1" applyBorder="1" applyAlignment="1" applyProtection="1">
      <alignment wrapText="1"/>
      <protection locked="0"/>
    </xf>
    <xf numFmtId="3" fontId="6" fillId="9" borderId="9" xfId="0" applyFont="1" applyFill="1" applyBorder="1" applyAlignment="1" applyProtection="1">
      <alignment wrapText="1"/>
      <protection locked="0"/>
    </xf>
    <xf numFmtId="3" fontId="6" fillId="9" borderId="13" xfId="0" applyFont="1" applyFill="1" applyBorder="1" applyAlignment="1" applyProtection="1">
      <alignment wrapText="1"/>
      <protection locked="0"/>
    </xf>
    <xf numFmtId="0" fontId="4" fillId="0" borderId="0" xfId="0" applyNumberFormat="1" applyFont="1" applyAlignment="1" applyProtection="1">
      <alignment wrapText="1"/>
      <protection locked="0"/>
    </xf>
    <xf numFmtId="0" fontId="4" fillId="0" borderId="0" xfId="0" applyNumberFormat="1" applyFont="1" applyProtection="1">
      <protection locked="0"/>
    </xf>
    <xf numFmtId="3" fontId="23" fillId="0" borderId="0" xfId="0" applyFont="1" applyProtection="1">
      <protection locked="0"/>
    </xf>
    <xf numFmtId="0" fontId="6" fillId="0" borderId="0" xfId="0" applyNumberFormat="1" applyFont="1" applyAlignment="1" applyProtection="1">
      <alignment wrapText="1"/>
      <protection locked="0"/>
    </xf>
    <xf numFmtId="3" fontId="6" fillId="9" borderId="0" xfId="0" applyFont="1" applyFill="1" applyAlignment="1" applyProtection="1">
      <alignment wrapText="1"/>
      <protection locked="0"/>
    </xf>
    <xf numFmtId="0" fontId="6" fillId="9" borderId="0" xfId="0" applyNumberFormat="1" applyFont="1" applyFill="1" applyAlignment="1" applyProtection="1">
      <alignment wrapText="1"/>
      <protection locked="0"/>
    </xf>
    <xf numFmtId="0" fontId="25" fillId="0" borderId="0" xfId="8" applyNumberFormat="1" applyFont="1" applyBorder="1" applyAlignment="1" applyProtection="1">
      <protection locked="0"/>
    </xf>
    <xf numFmtId="0" fontId="5" fillId="0" borderId="0" xfId="8" applyNumberFormat="1" applyFont="1" applyBorder="1" applyAlignment="1" applyProtection="1">
      <protection locked="0"/>
    </xf>
    <xf numFmtId="1" fontId="18" fillId="0" borderId="2" xfId="0" applyNumberFormat="1" applyFont="1" applyBorder="1" applyAlignment="1">
      <alignment vertical="center" wrapText="1"/>
    </xf>
    <xf numFmtId="0" fontId="19" fillId="0" borderId="2" xfId="3" applyFont="1" applyFill="1" applyBorder="1"/>
    <xf numFmtId="0" fontId="19" fillId="0" borderId="2" xfId="7" applyNumberFormat="1" applyFont="1" applyFill="1" applyBorder="1" applyAlignment="1">
      <alignment horizontal="center" vertical="center"/>
    </xf>
    <xf numFmtId="3" fontId="22" fillId="0" borderId="2" xfId="0" applyFont="1" applyBorder="1" applyAlignment="1">
      <alignment vertical="center" wrapText="1"/>
    </xf>
    <xf numFmtId="10" fontId="20" fillId="0" borderId="2" xfId="3" applyNumberFormat="1" applyFont="1" applyFill="1" applyBorder="1"/>
    <xf numFmtId="1" fontId="18" fillId="0" borderId="8" xfId="0" applyNumberFormat="1" applyFont="1" applyBorder="1" applyAlignment="1">
      <alignment vertical="center" wrapText="1"/>
    </xf>
    <xf numFmtId="1" fontId="18" fillId="0" borderId="0" xfId="0" applyNumberFormat="1" applyFont="1" applyAlignment="1">
      <alignment vertical="center" wrapText="1"/>
    </xf>
    <xf numFmtId="1" fontId="26" fillId="0" borderId="5" xfId="0" applyNumberFormat="1" applyFont="1" applyBorder="1" applyAlignment="1">
      <alignment vertical="center" wrapText="1"/>
    </xf>
    <xf numFmtId="0" fontId="19" fillId="0" borderId="0" xfId="0" applyNumberFormat="1" applyFont="1"/>
    <xf numFmtId="165" fontId="19" fillId="0" borderId="0" xfId="0" applyNumberFormat="1" applyFont="1"/>
    <xf numFmtId="167" fontId="19" fillId="0" borderId="0" xfId="0" applyNumberFormat="1" applyFont="1"/>
    <xf numFmtId="3" fontId="19" fillId="0" borderId="4" xfId="0" applyFont="1" applyBorder="1"/>
    <xf numFmtId="3" fontId="19" fillId="0" borderId="6" xfId="0" applyFont="1" applyBorder="1"/>
    <xf numFmtId="3" fontId="17" fillId="0" borderId="5" xfId="0" applyFont="1" applyBorder="1" applyAlignment="1">
      <alignment vertical="center" wrapText="1"/>
    </xf>
    <xf numFmtId="3" fontId="20" fillId="0" borderId="0" xfId="0" applyFont="1"/>
    <xf numFmtId="3" fontId="5" fillId="0" borderId="15" xfId="0" applyFont="1" applyBorder="1" applyAlignment="1" applyProtection="1">
      <alignment horizontal="centerContinuous"/>
      <protection locked="0"/>
    </xf>
    <xf numFmtId="3" fontId="6" fillId="0" borderId="16" xfId="0" applyFont="1" applyBorder="1" applyAlignment="1" applyProtection="1">
      <alignment horizontal="centerContinuous"/>
      <protection locked="0"/>
    </xf>
    <xf numFmtId="3" fontId="4" fillId="0" borderId="1" xfId="0" applyFont="1" applyBorder="1" applyProtection="1">
      <protection locked="0"/>
    </xf>
    <xf numFmtId="3" fontId="6" fillId="0" borderId="0" xfId="0" applyFont="1" applyAlignment="1" applyProtection="1">
      <alignment horizontal="centerContinuous"/>
      <protection locked="0"/>
    </xf>
    <xf numFmtId="3" fontId="6" fillId="0" borderId="0" xfId="0" applyFont="1" applyAlignment="1" applyProtection="1">
      <alignment horizontal="right"/>
      <protection locked="0"/>
    </xf>
    <xf numFmtId="3" fontId="0" fillId="0" borderId="1" xfId="0" applyBorder="1" applyProtection="1">
      <protection locked="0"/>
    </xf>
    <xf numFmtId="164" fontId="6" fillId="0" borderId="0" xfId="0" quotePrefix="1" applyNumberFormat="1" applyFont="1" applyProtection="1">
      <protection locked="0"/>
    </xf>
    <xf numFmtId="164" fontId="6" fillId="0" borderId="0" xfId="0" applyNumberFormat="1" applyFont="1" applyProtection="1">
      <protection locked="0"/>
    </xf>
    <xf numFmtId="3" fontId="6" fillId="0" borderId="0" xfId="0" quotePrefix="1" applyFont="1" applyProtection="1">
      <protection locked="0"/>
    </xf>
    <xf numFmtId="3" fontId="6" fillId="9" borderId="1" xfId="0" applyFont="1" applyFill="1" applyBorder="1" applyProtection="1">
      <protection locked="0"/>
    </xf>
    <xf numFmtId="3" fontId="6" fillId="9" borderId="0" xfId="0" quotePrefix="1" applyFont="1" applyFill="1" applyProtection="1">
      <protection locked="0"/>
    </xf>
    <xf numFmtId="3" fontId="6" fillId="7" borderId="1" xfId="0" applyFont="1" applyFill="1" applyBorder="1" applyProtection="1">
      <protection locked="0"/>
    </xf>
    <xf numFmtId="3" fontId="6" fillId="7" borderId="0" xfId="0" quotePrefix="1" applyFont="1" applyFill="1" applyProtection="1">
      <protection locked="0"/>
    </xf>
    <xf numFmtId="3" fontId="6" fillId="7" borderId="0" xfId="0" applyFont="1" applyFill="1" applyProtection="1">
      <protection locked="0"/>
    </xf>
    <xf numFmtId="3" fontId="6" fillId="10" borderId="0" xfId="0" applyFont="1" applyFill="1" applyProtection="1">
      <protection locked="0"/>
    </xf>
    <xf numFmtId="164" fontId="23" fillId="0" borderId="0" xfId="0" applyNumberFormat="1" applyFont="1" applyProtection="1">
      <protection locked="0"/>
    </xf>
    <xf numFmtId="10" fontId="6" fillId="0" borderId="0" xfId="0" applyNumberFormat="1" applyFont="1" applyAlignment="1" applyProtection="1">
      <alignment horizontal="right"/>
      <protection locked="0"/>
    </xf>
    <xf numFmtId="3" fontId="11" fillId="0" borderId="0" xfId="0" applyFont="1" applyProtection="1">
      <protection locked="0"/>
    </xf>
    <xf numFmtId="3" fontId="5" fillId="0" borderId="1" xfId="0" applyFont="1" applyBorder="1" applyProtection="1">
      <protection locked="0"/>
    </xf>
    <xf numFmtId="3" fontId="8" fillId="0" borderId="0" xfId="0" applyFont="1" applyProtection="1">
      <protection locked="0"/>
    </xf>
    <xf numFmtId="164" fontId="10" fillId="0" borderId="0" xfId="0" applyNumberFormat="1" applyFont="1" applyProtection="1">
      <protection locked="0"/>
    </xf>
    <xf numFmtId="3" fontId="6" fillId="0" borderId="0" xfId="0" applyFont="1"/>
    <xf numFmtId="3" fontId="4" fillId="0" borderId="0" xfId="0" applyFont="1"/>
    <xf numFmtId="49" fontId="6" fillId="0" borderId="0" xfId="0" applyNumberFormat="1" applyFont="1" applyAlignment="1" applyProtection="1">
      <alignment horizontal="right"/>
      <protection locked="0"/>
    </xf>
    <xf numFmtId="165" fontId="6" fillId="9" borderId="11" xfId="0" applyNumberFormat="1" applyFont="1" applyFill="1" applyBorder="1" applyAlignment="1" applyProtection="1">
      <alignment wrapText="1"/>
      <protection locked="0"/>
    </xf>
    <xf numFmtId="3" fontId="27" fillId="0" borderId="0" xfId="0" applyFont="1" applyProtection="1">
      <protection locked="0"/>
    </xf>
    <xf numFmtId="1" fontId="13" fillId="7" borderId="0" xfId="0" applyNumberFormat="1" applyFont="1" applyFill="1" applyAlignment="1">
      <alignment horizontal="right"/>
    </xf>
    <xf numFmtId="1" fontId="21" fillId="0" borderId="0" xfId="0" applyNumberFormat="1" applyFont="1" applyAlignment="1">
      <alignment horizontal="right"/>
    </xf>
    <xf numFmtId="3" fontId="5" fillId="7" borderId="0" xfId="0" applyFont="1" applyFill="1" applyAlignment="1" applyProtection="1">
      <alignment horizontal="right"/>
      <protection locked="0"/>
    </xf>
    <xf numFmtId="164" fontId="7" fillId="0" borderId="0" xfId="0" applyNumberFormat="1" applyFont="1" applyProtection="1">
      <protection locked="0"/>
    </xf>
    <xf numFmtId="3" fontId="4" fillId="0" borderId="16" xfId="0" applyFont="1" applyBorder="1" applyAlignment="1" applyProtection="1">
      <alignment wrapText="1"/>
      <protection locked="0"/>
    </xf>
    <xf numFmtId="164" fontId="5" fillId="0" borderId="17" xfId="0" applyNumberFormat="1" applyFont="1" applyBorder="1" applyAlignment="1" applyProtection="1">
      <alignment wrapText="1"/>
      <protection locked="0"/>
    </xf>
    <xf numFmtId="164" fontId="5" fillId="0" borderId="14" xfId="0" applyNumberFormat="1" applyFont="1" applyBorder="1" applyAlignment="1" applyProtection="1">
      <alignment wrapText="1"/>
      <protection locked="0"/>
    </xf>
    <xf numFmtId="3" fontId="5" fillId="0" borderId="14" xfId="0" applyFont="1" applyBorder="1" applyAlignment="1" applyProtection="1">
      <alignment wrapText="1"/>
      <protection locked="0"/>
    </xf>
    <xf numFmtId="3" fontId="4" fillId="0" borderId="5" xfId="0" applyFont="1" applyBorder="1" applyAlignment="1" applyProtection="1">
      <alignment wrapText="1"/>
      <protection locked="0"/>
    </xf>
    <xf numFmtId="164" fontId="5" fillId="0" borderId="20" xfId="0" applyNumberFormat="1" applyFont="1" applyBorder="1" applyAlignment="1" applyProtection="1">
      <alignment wrapText="1"/>
      <protection locked="0"/>
    </xf>
    <xf numFmtId="4" fontId="6" fillId="9" borderId="12" xfId="0" applyNumberFormat="1" applyFont="1" applyFill="1" applyBorder="1" applyAlignment="1" applyProtection="1">
      <alignment wrapText="1"/>
      <protection locked="0"/>
    </xf>
    <xf numFmtId="4" fontId="6" fillId="9" borderId="9" xfId="0" applyNumberFormat="1" applyFont="1" applyFill="1" applyBorder="1" applyAlignment="1" applyProtection="1">
      <alignment wrapText="1"/>
      <protection locked="0"/>
    </xf>
    <xf numFmtId="4" fontId="6" fillId="9" borderId="13" xfId="0" applyNumberFormat="1" applyFont="1" applyFill="1" applyBorder="1" applyAlignment="1" applyProtection="1">
      <alignment wrapText="1"/>
      <protection locked="0"/>
    </xf>
    <xf numFmtId="3" fontId="5" fillId="0" borderId="18" xfId="0" applyFont="1" applyBorder="1" applyAlignment="1" applyProtection="1">
      <alignment horizontal="right" wrapText="1"/>
      <protection locked="0"/>
    </xf>
    <xf numFmtId="164" fontId="5" fillId="0" borderId="0" xfId="0" applyNumberFormat="1" applyFont="1" applyAlignment="1" applyProtection="1">
      <alignment horizontal="right" wrapText="1"/>
      <protection locked="0"/>
    </xf>
    <xf numFmtId="164" fontId="5" fillId="0" borderId="5" xfId="0" applyNumberFormat="1" applyFont="1" applyBorder="1" applyAlignment="1" applyProtection="1">
      <alignment horizontal="right" wrapText="1"/>
      <protection locked="0"/>
    </xf>
    <xf numFmtId="3" fontId="5" fillId="0" borderId="7" xfId="0" applyFont="1" applyBorder="1" applyAlignment="1" applyProtection="1">
      <alignment horizontal="left" wrapText="1"/>
      <protection locked="0"/>
    </xf>
    <xf numFmtId="3" fontId="5" fillId="0" borderId="1" xfId="0" applyFont="1" applyBorder="1" applyAlignment="1" applyProtection="1">
      <alignment horizontal="left" wrapText="1"/>
      <protection locked="0"/>
    </xf>
    <xf numFmtId="3" fontId="5" fillId="0" borderId="19" xfId="0" applyFont="1" applyBorder="1" applyAlignment="1" applyProtection="1">
      <alignment horizontal="left" wrapText="1"/>
      <protection locked="0"/>
    </xf>
    <xf numFmtId="164" fontId="13" fillId="0" borderId="0" xfId="0" quotePrefix="1" applyNumberFormat="1" applyFont="1" applyProtection="1">
      <protection locked="0"/>
    </xf>
    <xf numFmtId="1" fontId="28" fillId="0" borderId="0" xfId="8" applyNumberFormat="1" applyFont="1" applyFill="1" applyBorder="1" applyAlignment="1" applyProtection="1">
      <alignment horizontal="right"/>
      <protection locked="0"/>
    </xf>
    <xf numFmtId="3" fontId="13" fillId="0" borderId="0" xfId="0" applyFont="1" applyAlignment="1" applyProtection="1">
      <alignment horizontal="right"/>
      <protection locked="0"/>
    </xf>
    <xf numFmtId="0" fontId="6" fillId="0" borderId="0" xfId="0" applyNumberFormat="1" applyFont="1" applyAlignment="1" applyProtection="1">
      <alignment horizontal="right"/>
      <protection locked="0"/>
    </xf>
    <xf numFmtId="49" fontId="6" fillId="7" borderId="0" xfId="0" applyNumberFormat="1" applyFont="1" applyFill="1" applyAlignment="1" applyProtection="1">
      <alignment horizontal="right"/>
      <protection locked="0"/>
    </xf>
    <xf numFmtId="0" fontId="6" fillId="9" borderId="0" xfId="0" applyNumberFormat="1" applyFont="1" applyFill="1" applyAlignment="1" applyProtection="1">
      <alignment horizontal="right"/>
      <protection locked="0"/>
    </xf>
    <xf numFmtId="3" fontId="6" fillId="0" borderId="17" xfId="0" applyFont="1" applyBorder="1" applyAlignment="1" applyProtection="1">
      <alignment horizontal="centerContinuous"/>
      <protection locked="0"/>
    </xf>
    <xf numFmtId="3" fontId="6" fillId="0" borderId="14" xfId="0" applyFont="1" applyBorder="1" applyAlignment="1" applyProtection="1">
      <alignment horizontal="centerContinuous"/>
      <protection locked="0"/>
    </xf>
    <xf numFmtId="3" fontId="5" fillId="0" borderId="1" xfId="0" applyFont="1" applyBorder="1"/>
    <xf numFmtId="3" fontId="4" fillId="0" borderId="1" xfId="0" applyFont="1" applyBorder="1"/>
    <xf numFmtId="3" fontId="8" fillId="0" borderId="19" xfId="0" applyFont="1" applyBorder="1"/>
    <xf numFmtId="3" fontId="8" fillId="0" borderId="5" xfId="0" applyFont="1" applyBorder="1"/>
    <xf numFmtId="3" fontId="6" fillId="0" borderId="15" xfId="0" applyFont="1" applyBorder="1" applyAlignment="1" applyProtection="1">
      <alignment horizontal="centerContinuous"/>
      <protection locked="0"/>
    </xf>
    <xf numFmtId="3" fontId="6" fillId="0" borderId="1" xfId="0" applyFont="1" applyBorder="1" applyAlignment="1" applyProtection="1">
      <alignment horizontal="centerContinuous"/>
      <protection locked="0"/>
    </xf>
    <xf numFmtId="3" fontId="29" fillId="0" borderId="0" xfId="0" applyFont="1" applyAlignment="1" applyProtection="1">
      <alignment wrapText="1"/>
      <protection locked="0"/>
    </xf>
    <xf numFmtId="164" fontId="7" fillId="0" borderId="1" xfId="0" applyNumberFormat="1" applyFont="1" applyBorder="1" applyProtection="1">
      <protection locked="0"/>
    </xf>
    <xf numFmtId="10" fontId="6" fillId="0" borderId="14" xfId="0" applyNumberFormat="1" applyFont="1" applyBorder="1" applyAlignment="1">
      <alignment horizontal="center"/>
    </xf>
    <xf numFmtId="10" fontId="6" fillId="0" borderId="1" xfId="0" applyNumberFormat="1" applyFont="1" applyBorder="1" applyAlignment="1">
      <alignment horizontal="center"/>
    </xf>
    <xf numFmtId="10" fontId="6" fillId="0" borderId="0" xfId="0" applyNumberFormat="1" applyFont="1" applyAlignment="1">
      <alignment horizontal="center"/>
    </xf>
    <xf numFmtId="3" fontId="6" fillId="0" borderId="24" xfId="0" applyFont="1" applyBorder="1" applyAlignment="1" applyProtection="1">
      <alignment wrapText="1"/>
      <protection locked="0"/>
    </xf>
    <xf numFmtId="3" fontId="6" fillId="0" borderId="25" xfId="0" applyFont="1" applyBorder="1" applyAlignment="1" applyProtection="1">
      <alignment wrapText="1"/>
      <protection locked="0"/>
    </xf>
    <xf numFmtId="10" fontId="6" fillId="0" borderId="26" xfId="0" applyNumberFormat="1" applyFont="1" applyBorder="1" applyAlignment="1" applyProtection="1">
      <alignment horizontal="right" wrapText="1"/>
      <protection locked="0"/>
    </xf>
    <xf numFmtId="0" fontId="30" fillId="0" borderId="21" xfId="0" applyNumberFormat="1" applyFont="1" applyBorder="1" applyAlignment="1" applyProtection="1">
      <alignment wrapText="1"/>
      <protection locked="0"/>
    </xf>
    <xf numFmtId="3" fontId="5" fillId="0" borderId="22" xfId="0" applyFont="1" applyBorder="1" applyAlignment="1" applyProtection="1">
      <alignment horizontal="right" wrapText="1"/>
      <protection locked="0"/>
    </xf>
    <xf numFmtId="3" fontId="5" fillId="0" borderId="23" xfId="0" applyFont="1" applyBorder="1" applyAlignment="1" applyProtection="1">
      <alignment horizontal="right" wrapText="1"/>
      <protection locked="0"/>
    </xf>
    <xf numFmtId="10" fontId="6" fillId="9" borderId="10" xfId="0" applyNumberFormat="1" applyFont="1" applyFill="1" applyBorder="1" applyAlignment="1" applyProtection="1">
      <alignment wrapText="1"/>
      <protection locked="0"/>
    </xf>
    <xf numFmtId="10" fontId="6" fillId="0" borderId="28" xfId="0" applyNumberFormat="1" applyFont="1" applyBorder="1" applyAlignment="1" applyProtection="1">
      <alignment horizontal="right" wrapText="1"/>
      <protection locked="0"/>
    </xf>
    <xf numFmtId="10" fontId="6" fillId="0" borderId="29" xfId="0" applyNumberFormat="1" applyFont="1" applyBorder="1" applyAlignment="1" applyProtection="1">
      <alignment horizontal="right" wrapText="1"/>
      <protection locked="0"/>
    </xf>
    <xf numFmtId="10" fontId="6" fillId="0" borderId="9" xfId="0" applyNumberFormat="1" applyFont="1" applyBorder="1" applyAlignment="1" applyProtection="1">
      <alignment horizontal="right" wrapText="1"/>
      <protection locked="0"/>
    </xf>
    <xf numFmtId="10" fontId="6" fillId="0" borderId="12" xfId="0" applyNumberFormat="1" applyFont="1" applyBorder="1" applyAlignment="1" applyProtection="1">
      <alignment horizontal="right" wrapText="1"/>
      <protection locked="0"/>
    </xf>
    <xf numFmtId="10" fontId="6" fillId="0" borderId="30" xfId="0" applyNumberFormat="1" applyFont="1" applyBorder="1" applyAlignment="1" applyProtection="1">
      <alignment horizontal="right" wrapText="1"/>
      <protection locked="0"/>
    </xf>
    <xf numFmtId="10" fontId="6" fillId="0" borderId="31" xfId="0" applyNumberFormat="1" applyFont="1" applyBorder="1" applyAlignment="1" applyProtection="1">
      <alignment horizontal="right" wrapText="1"/>
      <protection locked="0"/>
    </xf>
    <xf numFmtId="10" fontId="6" fillId="0" borderId="13" xfId="0" applyNumberFormat="1" applyFont="1" applyBorder="1" applyAlignment="1" applyProtection="1">
      <alignment horizontal="right" wrapText="1"/>
      <protection locked="0"/>
    </xf>
    <xf numFmtId="3" fontId="5" fillId="0" borderId="32" xfId="0" applyFont="1" applyBorder="1" applyAlignment="1" applyProtection="1">
      <alignment horizontal="right" wrapText="1"/>
      <protection locked="0"/>
    </xf>
    <xf numFmtId="10" fontId="6" fillId="0" borderId="27" xfId="0" applyNumberFormat="1" applyFont="1" applyBorder="1" applyAlignment="1">
      <alignment horizontal="center"/>
    </xf>
    <xf numFmtId="3" fontId="31" fillId="0" borderId="0" xfId="0" applyFont="1" applyAlignment="1" applyProtection="1">
      <alignment wrapText="1"/>
      <protection locked="0"/>
    </xf>
    <xf numFmtId="164" fontId="6" fillId="0" borderId="0" xfId="0" applyNumberFormat="1" applyFont="1" applyAlignment="1" applyProtection="1">
      <alignment wrapText="1"/>
      <protection locked="0"/>
    </xf>
    <xf numFmtId="3" fontId="6" fillId="0" borderId="0" xfId="0" applyFont="1" applyAlignment="1" applyProtection="1">
      <alignment horizontal="right" wrapText="1"/>
      <protection locked="0"/>
    </xf>
    <xf numFmtId="3" fontId="6" fillId="0" borderId="0" xfId="0" applyFont="1" applyAlignment="1" applyProtection="1">
      <alignment horizontal="center"/>
      <protection locked="0"/>
    </xf>
    <xf numFmtId="3" fontId="4" fillId="0" borderId="0" xfId="0" applyFont="1" applyAlignment="1" applyProtection="1">
      <alignment horizontal="center"/>
      <protection locked="0"/>
    </xf>
    <xf numFmtId="0" fontId="6" fillId="0" borderId="0" xfId="0" applyNumberFormat="1" applyFont="1" applyAlignment="1" applyProtection="1">
      <alignment horizontal="center" wrapText="1"/>
      <protection locked="0"/>
    </xf>
    <xf numFmtId="0" fontId="6" fillId="0" borderId="0" xfId="0" applyNumberFormat="1" applyFont="1" applyAlignment="1" applyProtection="1">
      <alignment horizontal="center"/>
      <protection locked="0"/>
    </xf>
    <xf numFmtId="164" fontId="6" fillId="7" borderId="0" xfId="0" applyNumberFormat="1" applyFont="1" applyFill="1" applyAlignment="1" applyProtection="1">
      <alignment horizontal="center"/>
      <protection locked="0"/>
    </xf>
    <xf numFmtId="164" fontId="6" fillId="0" borderId="0" xfId="0" applyNumberFormat="1" applyFont="1" applyAlignment="1" applyProtection="1">
      <alignment horizontal="center"/>
      <protection locked="0"/>
    </xf>
    <xf numFmtId="164" fontId="8" fillId="0" borderId="0" xfId="0" applyNumberFormat="1" applyFont="1" applyAlignment="1" applyProtection="1">
      <alignment horizontal="center"/>
      <protection locked="0"/>
    </xf>
    <xf numFmtId="164" fontId="8" fillId="0" borderId="0" xfId="0" applyNumberFormat="1" applyFont="1" applyAlignment="1">
      <alignment horizontal="center"/>
    </xf>
    <xf numFmtId="164" fontId="6" fillId="0" borderId="0" xfId="0" applyNumberFormat="1" applyFont="1" applyAlignment="1" applyProtection="1">
      <alignment horizontal="right"/>
      <protection locked="0"/>
    </xf>
    <xf numFmtId="3" fontId="5" fillId="0" borderId="0" xfId="0" applyFont="1" applyAlignment="1" applyProtection="1">
      <alignment horizontal="right"/>
      <protection locked="0"/>
    </xf>
    <xf numFmtId="3" fontId="5" fillId="0" borderId="0" xfId="0" applyFont="1" applyAlignment="1" applyProtection="1">
      <alignment horizontal="left"/>
      <protection locked="0"/>
    </xf>
    <xf numFmtId="3" fontId="32" fillId="0" borderId="0" xfId="0" applyFont="1"/>
    <xf numFmtId="3" fontId="33" fillId="0" borderId="36" xfId="8" applyFont="1" applyFill="1" applyBorder="1"/>
    <xf numFmtId="3" fontId="33" fillId="0" borderId="0" xfId="8" applyFont="1"/>
    <xf numFmtId="3" fontId="13" fillId="11" borderId="27" xfId="0" applyFont="1" applyFill="1" applyBorder="1" applyAlignment="1" applyProtection="1">
      <alignment horizontal="right"/>
      <protection locked="0"/>
    </xf>
    <xf numFmtId="3" fontId="5" fillId="8" borderId="0" xfId="0" applyFont="1" applyFill="1" applyAlignment="1" applyProtection="1">
      <alignment horizontal="center" vertical="top"/>
      <protection locked="0"/>
    </xf>
    <xf numFmtId="164" fontId="36" fillId="0" borderId="0" xfId="0" applyNumberFormat="1" applyFont="1" applyProtection="1">
      <protection locked="0"/>
    </xf>
    <xf numFmtId="164" fontId="36" fillId="0" borderId="1" xfId="0" applyNumberFormat="1" applyFont="1" applyBorder="1" applyProtection="1">
      <protection locked="0"/>
    </xf>
    <xf numFmtId="164" fontId="36" fillId="11" borderId="27" xfId="0" applyNumberFormat="1" applyFont="1" applyFill="1" applyBorder="1" applyAlignment="1" applyProtection="1">
      <alignment horizontal="right"/>
      <protection locked="0"/>
    </xf>
    <xf numFmtId="3" fontId="35" fillId="11" borderId="14" xfId="0" applyFont="1" applyFill="1" applyBorder="1" applyAlignment="1" applyProtection="1">
      <alignment horizontal="right"/>
      <protection locked="0"/>
    </xf>
    <xf numFmtId="3" fontId="13" fillId="11" borderId="14" xfId="0" applyFont="1" applyFill="1" applyBorder="1" applyAlignment="1" applyProtection="1">
      <alignment horizontal="right"/>
      <protection locked="0"/>
    </xf>
    <xf numFmtId="164" fontId="36" fillId="11" borderId="14" xfId="0" applyNumberFormat="1" applyFont="1" applyFill="1" applyBorder="1" applyAlignment="1" applyProtection="1">
      <alignment horizontal="right"/>
      <protection locked="0"/>
    </xf>
    <xf numFmtId="3" fontId="37" fillId="0" borderId="0" xfId="0" applyFont="1" applyAlignment="1">
      <alignment vertical="center"/>
    </xf>
    <xf numFmtId="3" fontId="38" fillId="0" borderId="0" xfId="0" applyFont="1" applyAlignment="1">
      <alignment vertical="center"/>
    </xf>
    <xf numFmtId="3" fontId="22" fillId="0" borderId="0" xfId="0" applyFont="1" applyAlignment="1">
      <alignment vertical="center"/>
    </xf>
    <xf numFmtId="3" fontId="39" fillId="0" borderId="0" xfId="0" applyFont="1" applyAlignment="1">
      <alignment vertical="center"/>
    </xf>
    <xf numFmtId="10" fontId="6" fillId="10" borderId="0" xfId="0" applyNumberFormat="1" applyFont="1" applyFill="1" applyAlignment="1" applyProtection="1">
      <alignment wrapText="1"/>
      <protection locked="0"/>
    </xf>
    <xf numFmtId="3" fontId="13" fillId="0" borderId="0" xfId="0" applyFont="1" applyAlignment="1" applyProtection="1">
      <alignment wrapText="1"/>
      <protection locked="0"/>
    </xf>
    <xf numFmtId="49" fontId="6" fillId="0" borderId="0" xfId="0" quotePrefix="1" applyNumberFormat="1" applyFont="1" applyAlignment="1" applyProtection="1">
      <alignment horizontal="right"/>
      <protection locked="0"/>
    </xf>
    <xf numFmtId="3" fontId="6" fillId="0" borderId="1" xfId="0" quotePrefix="1" applyFont="1" applyBorder="1" applyProtection="1">
      <protection locked="0"/>
    </xf>
    <xf numFmtId="3" fontId="41" fillId="0" borderId="0" xfId="8" applyFont="1" applyAlignment="1">
      <alignment vertical="center"/>
    </xf>
    <xf numFmtId="164" fontId="13" fillId="11" borderId="27" xfId="0" applyNumberFormat="1" applyFont="1" applyFill="1" applyBorder="1" applyAlignment="1" applyProtection="1">
      <alignment horizontal="right"/>
      <protection locked="0"/>
    </xf>
    <xf numFmtId="164" fontId="13" fillId="11" borderId="14" xfId="0" applyNumberFormat="1" applyFont="1" applyFill="1" applyBorder="1" applyAlignment="1" applyProtection="1">
      <alignment horizontal="right"/>
      <protection locked="0"/>
    </xf>
    <xf numFmtId="3" fontId="11" fillId="0" borderId="0" xfId="0" quotePrefix="1" applyFont="1" applyProtection="1">
      <protection locked="0"/>
    </xf>
    <xf numFmtId="164" fontId="35" fillId="11" borderId="27" xfId="0" applyNumberFormat="1" applyFont="1" applyFill="1" applyBorder="1" applyAlignment="1" applyProtection="1">
      <alignment horizontal="right"/>
      <protection locked="0"/>
    </xf>
    <xf numFmtId="164" fontId="35" fillId="11" borderId="14" xfId="0" applyNumberFormat="1" applyFont="1" applyFill="1" applyBorder="1" applyAlignment="1" applyProtection="1">
      <alignment horizontal="right"/>
      <protection locked="0"/>
    </xf>
    <xf numFmtId="3" fontId="5" fillId="7" borderId="1" xfId="0" applyFont="1" applyFill="1" applyBorder="1" applyProtection="1">
      <protection locked="0"/>
    </xf>
    <xf numFmtId="3" fontId="5" fillId="7" borderId="0" xfId="0" quotePrefix="1" applyFont="1" applyFill="1" applyProtection="1">
      <protection locked="0"/>
    </xf>
    <xf numFmtId="3" fontId="5" fillId="7" borderId="0" xfId="0" applyFont="1" applyFill="1" applyProtection="1">
      <protection locked="0"/>
    </xf>
    <xf numFmtId="164" fontId="5" fillId="7" borderId="0" xfId="0" applyNumberFormat="1" applyFont="1" applyFill="1" applyProtection="1">
      <protection locked="0"/>
    </xf>
    <xf numFmtId="164" fontId="21" fillId="11" borderId="27" xfId="0" applyNumberFormat="1" applyFont="1" applyFill="1" applyBorder="1" applyAlignment="1" applyProtection="1">
      <alignment horizontal="right"/>
      <protection locked="0"/>
    </xf>
    <xf numFmtId="164" fontId="5" fillId="7" borderId="1" xfId="0" applyNumberFormat="1" applyFont="1" applyFill="1" applyBorder="1" applyProtection="1">
      <protection locked="0"/>
    </xf>
    <xf numFmtId="164" fontId="21" fillId="11" borderId="14" xfId="0" applyNumberFormat="1" applyFont="1" applyFill="1" applyBorder="1" applyAlignment="1" applyProtection="1">
      <alignment horizontal="right"/>
      <protection locked="0"/>
    </xf>
    <xf numFmtId="164" fontId="5" fillId="7" borderId="0" xfId="0" applyNumberFormat="1" applyFont="1" applyFill="1" applyAlignment="1" applyProtection="1">
      <alignment horizontal="center"/>
      <protection locked="0"/>
    </xf>
    <xf numFmtId="49" fontId="5" fillId="7" borderId="0" xfId="0" applyNumberFormat="1" applyFont="1" applyFill="1" applyAlignment="1" applyProtection="1">
      <alignment horizontal="right"/>
      <protection locked="0"/>
    </xf>
    <xf numFmtId="3" fontId="42" fillId="0" borderId="0" xfId="0" applyFont="1" applyAlignment="1" applyProtection="1">
      <alignment wrapText="1"/>
      <protection locked="0"/>
    </xf>
    <xf numFmtId="3" fontId="5" fillId="0" borderId="0" xfId="0" applyFont="1" applyProtection="1">
      <protection locked="0"/>
    </xf>
    <xf numFmtId="3" fontId="42" fillId="0" borderId="0" xfId="0" applyFont="1" applyProtection="1">
      <protection locked="0"/>
    </xf>
    <xf numFmtId="3" fontId="11" fillId="10" borderId="0" xfId="0" applyFont="1" applyFill="1" applyProtection="1">
      <protection locked="0"/>
    </xf>
    <xf numFmtId="164" fontId="6" fillId="9" borderId="0" xfId="0" applyNumberFormat="1" applyFont="1" applyFill="1" applyAlignment="1" applyProtection="1">
      <alignment horizontal="right"/>
      <protection locked="0"/>
    </xf>
    <xf numFmtId="164" fontId="6" fillId="10" borderId="0" xfId="0" applyNumberFormat="1" applyFont="1" applyFill="1" applyAlignment="1" applyProtection="1">
      <alignment wrapText="1"/>
      <protection locked="0"/>
    </xf>
    <xf numFmtId="168" fontId="6" fillId="10" borderId="13" xfId="0" applyNumberFormat="1" applyFont="1" applyFill="1" applyBorder="1" applyAlignment="1" applyProtection="1">
      <alignment wrapText="1"/>
      <protection locked="0"/>
    </xf>
    <xf numFmtId="3" fontId="43" fillId="0" borderId="0" xfId="0" applyFont="1" applyAlignment="1">
      <alignment vertical="center" wrapText="1"/>
    </xf>
    <xf numFmtId="3" fontId="44" fillId="0" borderId="0" xfId="0" applyFont="1"/>
    <xf numFmtId="165" fontId="19" fillId="0" borderId="2" xfId="7" applyNumberFormat="1" applyFont="1" applyFill="1" applyBorder="1" applyAlignment="1">
      <alignment horizontal="center" vertical="center"/>
    </xf>
    <xf numFmtId="3" fontId="19" fillId="0" borderId="0" xfId="0" applyFont="1"/>
    <xf numFmtId="0" fontId="20" fillId="0" borderId="0" xfId="3" applyFont="1" applyFill="1" applyBorder="1"/>
    <xf numFmtId="0" fontId="20" fillId="0" borderId="0" xfId="0" applyNumberFormat="1" applyFont="1"/>
    <xf numFmtId="14" fontId="4" fillId="0" borderId="0" xfId="0" applyNumberFormat="1" applyFont="1"/>
    <xf numFmtId="166" fontId="4" fillId="0" borderId="0" xfId="0" applyNumberFormat="1" applyFont="1"/>
    <xf numFmtId="3" fontId="32" fillId="0" borderId="0" xfId="0" applyFont="1" applyAlignment="1">
      <alignment horizontal="center"/>
    </xf>
    <xf numFmtId="3" fontId="12" fillId="0" borderId="0" xfId="0" applyFont="1" applyAlignment="1">
      <alignment horizontal="center"/>
    </xf>
    <xf numFmtId="3" fontId="16" fillId="12" borderId="39" xfId="0" applyFont="1" applyFill="1" applyBorder="1"/>
    <xf numFmtId="165" fontId="2" fillId="13" borderId="40" xfId="0" applyNumberFormat="1" applyFont="1" applyFill="1" applyBorder="1"/>
    <xf numFmtId="3" fontId="24" fillId="0" borderId="0" xfId="8" applyAlignment="1">
      <alignment horizontal="right"/>
    </xf>
    <xf numFmtId="44" fontId="19" fillId="0" borderId="1" xfId="6" applyFont="1" applyFill="1" applyBorder="1"/>
    <xf numFmtId="168" fontId="19" fillId="0" borderId="8" xfId="7" applyNumberFormat="1" applyFont="1" applyBorder="1" applyAlignment="1">
      <alignment horizontal="center" vertical="center"/>
    </xf>
    <xf numFmtId="0" fontId="19" fillId="0" borderId="2" xfId="1" applyFont="1" applyFill="1" applyBorder="1"/>
    <xf numFmtId="10" fontId="19" fillId="0" borderId="2" xfId="1" applyNumberFormat="1" applyFont="1" applyFill="1" applyBorder="1"/>
    <xf numFmtId="0" fontId="19" fillId="0" borderId="2" xfId="5" applyFont="1" applyFill="1" applyBorder="1"/>
    <xf numFmtId="10" fontId="19" fillId="0" borderId="2" xfId="5" applyNumberFormat="1" applyFont="1" applyFill="1" applyBorder="1"/>
    <xf numFmtId="0" fontId="19" fillId="0" borderId="2" xfId="2" applyFont="1" applyFill="1" applyBorder="1"/>
    <xf numFmtId="10" fontId="19" fillId="0" borderId="2" xfId="2" applyNumberFormat="1" applyFont="1" applyFill="1" applyBorder="1"/>
    <xf numFmtId="0" fontId="19" fillId="0" borderId="2" xfId="4" applyFont="1" applyFill="1" applyBorder="1"/>
    <xf numFmtId="10" fontId="19" fillId="0" borderId="2" xfId="4" applyNumberFormat="1" applyFont="1" applyFill="1" applyBorder="1"/>
    <xf numFmtId="10" fontId="19" fillId="0" borderId="2" xfId="3" applyNumberFormat="1" applyFont="1" applyFill="1" applyBorder="1"/>
    <xf numFmtId="164" fontId="19" fillId="0" borderId="2" xfId="3" applyNumberFormat="1" applyFont="1" applyFill="1" applyBorder="1"/>
    <xf numFmtId="165" fontId="34" fillId="0" borderId="38" xfId="0" applyNumberFormat="1" applyFont="1" applyFill="1" applyBorder="1" applyAlignment="1">
      <alignment horizontal="right" vertical="center" wrapText="1"/>
    </xf>
    <xf numFmtId="3" fontId="19" fillId="0" borderId="2" xfId="0" applyFont="1" applyFill="1" applyBorder="1" applyAlignment="1">
      <alignment vertical="center" wrapText="1"/>
    </xf>
    <xf numFmtId="3" fontId="1" fillId="0" borderId="8" xfId="0" applyFont="1" applyFill="1" applyBorder="1" applyAlignment="1">
      <alignment vertical="center" wrapText="1"/>
    </xf>
    <xf numFmtId="3" fontId="1" fillId="0" borderId="2" xfId="0" applyFont="1" applyFill="1" applyBorder="1" applyAlignment="1">
      <alignment vertical="center" wrapText="1"/>
    </xf>
    <xf numFmtId="3" fontId="1" fillId="0" borderId="3" xfId="0" applyFont="1" applyFill="1" applyBorder="1" applyAlignment="1">
      <alignment vertical="center" wrapText="1"/>
    </xf>
    <xf numFmtId="10" fontId="13" fillId="0" borderId="0" xfId="0" applyNumberFormat="1" applyFont="1" applyAlignment="1" applyProtection="1">
      <alignment horizontal="left"/>
      <protection locked="0"/>
    </xf>
    <xf numFmtId="3" fontId="7" fillId="0" borderId="0" xfId="0" applyFont="1" applyAlignment="1" applyProtection="1">
      <alignment horizontal="center"/>
      <protection locked="0"/>
    </xf>
    <xf numFmtId="3" fontId="5" fillId="8" borderId="0" xfId="0" applyFont="1" applyFill="1" applyAlignment="1" applyProtection="1">
      <alignment horizontal="center" vertical="top"/>
      <protection locked="0"/>
    </xf>
    <xf numFmtId="3" fontId="7" fillId="0" borderId="27" xfId="0" applyFont="1" applyBorder="1" applyAlignment="1" applyProtection="1">
      <alignment horizontal="center"/>
      <protection locked="0"/>
    </xf>
    <xf numFmtId="3" fontId="7" fillId="0" borderId="35" xfId="0" applyFont="1" applyBorder="1" applyAlignment="1" applyProtection="1">
      <alignment horizontal="center"/>
      <protection locked="0"/>
    </xf>
    <xf numFmtId="3" fontId="7" fillId="0" borderId="14" xfId="0" applyFont="1" applyBorder="1" applyAlignment="1" applyProtection="1">
      <alignment horizontal="center"/>
      <protection locked="0"/>
    </xf>
    <xf numFmtId="164" fontId="10" fillId="0" borderId="5" xfId="0" applyNumberFormat="1" applyFont="1" applyBorder="1" applyAlignment="1">
      <alignment horizontal="center"/>
    </xf>
    <xf numFmtId="164" fontId="10" fillId="0" borderId="33" xfId="0" applyNumberFormat="1" applyFont="1" applyBorder="1" applyAlignment="1">
      <alignment horizontal="center"/>
    </xf>
    <xf numFmtId="10" fontId="6" fillId="0" borderId="0" xfId="0" applyNumberFormat="1" applyFont="1" applyAlignment="1">
      <alignment horizontal="right"/>
    </xf>
    <xf numFmtId="10" fontId="6" fillId="0" borderId="27" xfId="0" applyNumberFormat="1" applyFont="1" applyBorder="1" applyAlignment="1">
      <alignment horizontal="right"/>
    </xf>
    <xf numFmtId="3" fontId="7" fillId="0" borderId="0" xfId="0" applyFont="1" applyAlignment="1" applyProtection="1">
      <alignment horizontal="center" wrapText="1"/>
      <protection locked="0"/>
    </xf>
    <xf numFmtId="3" fontId="7" fillId="0" borderId="16" xfId="0" applyFont="1" applyBorder="1" applyAlignment="1" applyProtection="1">
      <alignment horizontal="center"/>
      <protection locked="0"/>
    </xf>
    <xf numFmtId="3" fontId="7" fillId="0" borderId="1" xfId="0" applyFont="1" applyBorder="1" applyAlignment="1" applyProtection="1">
      <alignment horizontal="center"/>
      <protection locked="0"/>
    </xf>
    <xf numFmtId="10" fontId="6" fillId="0" borderId="35" xfId="0" applyNumberFormat="1" applyFont="1" applyBorder="1" applyAlignment="1">
      <alignment horizontal="right"/>
    </xf>
    <xf numFmtId="164" fontId="10" fillId="0" borderId="34" xfId="0" applyNumberFormat="1" applyFont="1" applyBorder="1" applyAlignment="1">
      <alignment horizontal="center"/>
    </xf>
    <xf numFmtId="10" fontId="6" fillId="0" borderId="14" xfId="0" applyNumberFormat="1" applyFont="1" applyBorder="1" applyAlignment="1">
      <alignment horizontal="right"/>
    </xf>
    <xf numFmtId="164" fontId="10" fillId="0" borderId="20" xfId="0" applyNumberFormat="1" applyFont="1" applyBorder="1" applyAlignment="1">
      <alignment horizontal="center"/>
    </xf>
    <xf numFmtId="10" fontId="6" fillId="0" borderId="1" xfId="0" applyNumberFormat="1" applyFont="1" applyBorder="1" applyAlignment="1">
      <alignment horizontal="right"/>
    </xf>
    <xf numFmtId="164" fontId="10" fillId="0" borderId="19" xfId="0" applyNumberFormat="1" applyFont="1" applyBorder="1" applyAlignment="1">
      <alignment horizontal="center"/>
    </xf>
    <xf numFmtId="165" fontId="17" fillId="0" borderId="0" xfId="7" applyNumberFormat="1" applyFont="1" applyAlignment="1">
      <alignment horizontal="center"/>
    </xf>
    <xf numFmtId="3" fontId="17" fillId="0" borderId="0" xfId="0" applyFont="1" applyAlignment="1">
      <alignment horizontal="center"/>
    </xf>
    <xf numFmtId="168" fontId="19" fillId="0" borderId="7" xfId="7" applyNumberFormat="1" applyFont="1" applyBorder="1" applyAlignment="1">
      <alignment horizontal="center" vertical="center"/>
    </xf>
    <xf numFmtId="168" fontId="19" fillId="0" borderId="3" xfId="7" applyNumberFormat="1" applyFont="1" applyBorder="1" applyAlignment="1">
      <alignment horizontal="center" vertical="center"/>
    </xf>
    <xf numFmtId="168" fontId="19" fillId="0" borderId="37" xfId="7" applyNumberFormat="1" applyFont="1" applyBorder="1" applyAlignment="1">
      <alignment horizontal="center" vertical="center"/>
    </xf>
    <xf numFmtId="168" fontId="19" fillId="0" borderId="8" xfId="7" applyNumberFormat="1" applyFont="1" applyBorder="1" applyAlignment="1">
      <alignment horizontal="center" vertical="center"/>
    </xf>
  </cellXfs>
  <cellStyles count="12">
    <cellStyle name="40% - Accent1" xfId="1" builtinId="31"/>
    <cellStyle name="40% - Accent1 2" xfId="9" xr:uid="{00000000-0005-0000-0000-000031000000}"/>
    <cellStyle name="60% - Accent5" xfId="2" builtinId="48"/>
    <cellStyle name="Accent2" xfId="3" builtinId="33"/>
    <cellStyle name="Accent5" xfId="4" builtinId="45"/>
    <cellStyle name="Accent6" xfId="5" builtinId="49"/>
    <cellStyle name="Currency" xfId="6" builtinId="4"/>
    <cellStyle name="Currency 2" xfId="10" xr:uid="{00000000-0005-0000-0000-000032000000}"/>
    <cellStyle name="Hyperlink" xfId="8" builtinId="8"/>
    <cellStyle name="Normal" xfId="0" builtinId="0"/>
    <cellStyle name="Percent" xfId="7" builtinId="5"/>
    <cellStyle name="Percent 2" xfId="11" xr:uid="{00000000-0005-0000-0000-000033000000}"/>
  </cellStyles>
  <dxfs count="60">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0" formatCode="General"/>
    </dxf>
    <dxf>
      <font>
        <b/>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numFmt numFmtId="165" formatCode="0.0%"/>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color theme="1"/>
      </font>
    </dxf>
    <dxf>
      <numFmt numFmtId="169" formatCode=";;;"/>
    </dxf>
    <dxf>
      <numFmt numFmtId="169" formatCode=";;;"/>
    </dxf>
    <dxf>
      <numFmt numFmtId="169" formatCode=";;;"/>
    </dxf>
    <dxf>
      <border>
        <left style="thin">
          <color auto="1"/>
        </left>
        <right style="thin">
          <color auto="1"/>
        </right>
        <top style="thin">
          <color auto="1"/>
        </top>
        <bottom style="thin">
          <color auto="1"/>
        </bottom>
        <vertical/>
        <horizontal/>
      </border>
    </dxf>
    <dxf>
      <font>
        <color rgb="FFFF0000"/>
      </font>
    </dxf>
    <dxf>
      <font>
        <color rgb="FFFF0000"/>
      </font>
    </dxf>
    <dxf>
      <font>
        <color rgb="FFFF0000"/>
      </font>
    </dxf>
    <dxf>
      <font>
        <color rgb="FFFF0000"/>
      </font>
    </dxf>
    <dxf>
      <font>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12E7734-F121-41FA-BF80-5435A3B7229A}" name="Table27" displayName="Table27" ref="F24:F31" totalsRowShown="0" headerRowDxfId="16" dataDxfId="15">
  <autoFilter ref="F24:F31" xr:uid="{8606242C-71E6-4B85-A85C-2513CD12105F}"/>
  <tableColumns count="1">
    <tableColumn id="1" xr3:uid="{55B61953-BB09-433A-8318-B2E6FEDE92D5}" name="Project Roles"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3DAEAA-F1B3-4A0F-8472-F2586868829C}" name="Table18" displayName="Table18" ref="H24:I30" totalsRowShown="0" headerRowDxfId="13" dataDxfId="12">
  <autoFilter ref="H24:I30" xr:uid="{2FD93A57-2C92-4A82-B016-8363ECA53474}"/>
  <tableColumns count="2">
    <tableColumn id="1" xr3:uid="{2436532E-AA04-4B5C-8F81-A12AC0925055}" name="Effort Type" dataDxfId="11"/>
    <tableColumn id="2" xr3:uid="{B75DE01F-C354-41EA-9AA3-1984A9F9478A}" name="Factor"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0EFCB57-536B-4F5E-BD3B-EB32778F88DB}" name="Table39" displayName="Table39" ref="F33:G41" totalsRowShown="0" headerRowDxfId="9" dataDxfId="8">
  <autoFilter ref="F33:G41" xr:uid="{4C266436-29A0-40B0-9597-97C531161B55}"/>
  <tableColumns count="2">
    <tableColumn id="1" xr3:uid="{AC5E6AA7-F11C-4F0A-9336-DFE862117665}" name="Select Rate/See Below" dataDxfId="7"/>
    <tableColumn id="2" xr3:uid="{0A62D908-9750-4477-BB4D-6E8E2344ABFA}" name="0.0%"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4B5E1E-4129-4B29-9F09-440398C6AB71}" name="Table410" displayName="Table410" ref="I33:I35" totalsRowShown="0" headerRowDxfId="5" dataDxfId="4">
  <autoFilter ref="I33:I35" xr:uid="{9557D250-2EB8-4BDC-AD5B-6A0E67F3C3A5}"/>
  <tableColumns count="1">
    <tableColumn id="1" xr3:uid="{FA88A0E2-EBFF-42EF-9385-87B64CC7CC7F}" name="Select" dataDxfId="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A4EFF7-9E36-4D8A-8132-9E0BFED22435}" name="Table6" displayName="Table6" ref="I37:I40" totalsRowShown="0" headerRowDxfId="2" dataDxfId="1">
  <autoFilter ref="I37:I40" xr:uid="{AC40EB2F-395C-4DE2-A85A-2E469AF3AC3B}"/>
  <tableColumns count="1">
    <tableColumn id="1" xr3:uid="{5793E1AE-D341-442D-9B28-BEC8C4A3E443}" name="Cost Share" dataDxfId="0"/>
  </tableColumns>
  <tableStyleInfo name="TableStyleMedium2" showFirstColumn="0" showLastColumn="0" showRowStripes="1" showColumnStripes="0"/>
  <extLst>
    <ext xmlns:x14="http://schemas.microsoft.com/office/spreadsheetml/2009/9/main" uri="{504A1905-F514-4f6f-8877-14C23A59335A}">
      <x14:table altText="Cost_Shar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sa.gov/travel/plan-book/per-diem-rates" TargetMode="External"/><Relationship Id="rId7" Type="http://schemas.openxmlformats.org/officeDocument/2006/relationships/printerSettings" Target="../printerSettings/printerSettings1.bin"/><Relationship Id="rId2" Type="http://schemas.openxmlformats.org/officeDocument/2006/relationships/hyperlink" Target="https://aoprals.state.gov/web920/per_diem.asp" TargetMode="External"/><Relationship Id="rId1" Type="http://schemas.openxmlformats.org/officeDocument/2006/relationships/externalLinkPath" Target="/l/lkitchen/adit/My%20Documents/Budget%20Template%20Updates/test%20budget.xlsx" TargetMode="External"/><Relationship Id="rId6" Type="http://schemas.openxmlformats.org/officeDocument/2006/relationships/hyperlink" Target="https://osc.colorado.gov/financial-operations/fiscal-rules-procedures/mileage-reimbursement-rate" TargetMode="External"/><Relationship Id="rId5" Type="http://schemas.openxmlformats.org/officeDocument/2006/relationships/hyperlink" Target="https://ora.mines.edu/fy23-budget-template-2/" TargetMode="External"/><Relationship Id="rId4" Type="http://schemas.openxmlformats.org/officeDocument/2006/relationships/hyperlink" Target="https://grants.nih.gov/grants/policy/salcap_summary.htm"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s://www.mines.edu/graduate-studies/graduate-assistantship/" TargetMode="External"/><Relationship Id="rId7" Type="http://schemas.openxmlformats.org/officeDocument/2006/relationships/table" Target="../tables/table3.xml"/><Relationship Id="rId2" Type="http://schemas.openxmlformats.org/officeDocument/2006/relationships/hyperlink" Target="https://cdle.colorado.gov/wage-and-hour-law/minimum-wage" TargetMode="External"/><Relationship Id="rId1" Type="http://schemas.openxmlformats.org/officeDocument/2006/relationships/hyperlink" Target="https://ora.mines.edu/home/dig-in/fringe-benefit-rates-indirect-cost-rates/"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printerSettings" Target="../printerSettings/printerSettings2.bin"/><Relationship Id="rId9" Type="http://schemas.openxmlformats.org/officeDocument/2006/relationships/table" Target="../tables/table5.xml"/></Relationships>
</file>

<file path=xl/worksheets/_rels/sheet3.xml.rels><?xml version="1.0" encoding="UTF-8" standalone="yes"?>
<Relationships xmlns="http://schemas.openxmlformats.org/package/2006/relationships"><Relationship Id="rId1" Type="http://schemas.openxmlformats.org/officeDocument/2006/relationships/hyperlink" Target="https://catalog.mines.edu/proceduresmanual/3generalproceduresfaculty/3-1employmentcontractperiodpaycalculationstenuretenuretrackteachingfacul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09"/>
  <sheetViews>
    <sheetView showGridLines="0" tabSelected="1" zoomScaleNormal="100" workbookViewId="0"/>
  </sheetViews>
  <sheetFormatPr defaultColWidth="8.6328125" defaultRowHeight="15" outlineLevelRow="2" x14ac:dyDescent="0.25"/>
  <cols>
    <col min="1" max="1" width="2.54296875" style="10" customWidth="1"/>
    <col min="2" max="2" width="2.453125" style="10" customWidth="1"/>
    <col min="3" max="3" width="16.6328125" style="10" customWidth="1"/>
    <col min="4" max="4" width="14.08984375" style="10" customWidth="1"/>
    <col min="5" max="14" width="7.6328125" style="10" customWidth="1"/>
    <col min="15" max="16" width="8.6328125" style="10"/>
    <col min="17" max="17" width="7.36328125" style="147" customWidth="1"/>
    <col min="18" max="18" width="5.08984375" style="8" hidden="1" customWidth="1"/>
    <col min="19" max="19" width="3.54296875" style="9" customWidth="1"/>
    <col min="20" max="20" width="13" style="9" customWidth="1"/>
    <col min="21" max="21" width="12.08984375" style="9" customWidth="1"/>
    <col min="22" max="23" width="9.08984375" style="9" customWidth="1"/>
    <col min="24" max="25" width="6.6328125" style="9" customWidth="1"/>
    <col min="26" max="26" width="7.90625" style="9" customWidth="1"/>
    <col min="27" max="27" width="18.453125" style="9" customWidth="1"/>
    <col min="28" max="29" width="6.90625" style="9" customWidth="1"/>
    <col min="30" max="35" width="6.90625" style="10" customWidth="1"/>
    <col min="36" max="16384" width="8.6328125" style="10"/>
  </cols>
  <sheetData>
    <row r="1" spans="1:29" x14ac:dyDescent="0.25">
      <c r="A1" s="63" t="s">
        <v>18</v>
      </c>
      <c r="B1" s="64"/>
      <c r="C1" s="64"/>
      <c r="D1" s="64"/>
      <c r="E1" s="64"/>
      <c r="F1" s="64"/>
      <c r="G1" s="64"/>
      <c r="H1" s="64"/>
      <c r="I1" s="64"/>
      <c r="J1" s="64"/>
      <c r="K1" s="64"/>
      <c r="L1" s="64"/>
      <c r="M1" s="64"/>
      <c r="N1" s="64"/>
      <c r="O1" s="120"/>
      <c r="P1" s="114"/>
      <c r="Q1" s="146"/>
      <c r="T1" s="105" t="s">
        <v>167</v>
      </c>
      <c r="U1" s="102" t="s">
        <v>0</v>
      </c>
      <c r="V1" s="102" t="s">
        <v>1</v>
      </c>
      <c r="W1" s="102" t="s">
        <v>2</v>
      </c>
      <c r="X1" s="102" t="s">
        <v>20</v>
      </c>
      <c r="Y1" s="102" t="s">
        <v>21</v>
      </c>
      <c r="Z1" s="93"/>
      <c r="AA1" s="94" t="s">
        <v>190</v>
      </c>
    </row>
    <row r="2" spans="1:29" x14ac:dyDescent="0.25">
      <c r="A2" s="65"/>
      <c r="B2" s="66"/>
      <c r="D2" s="67" t="s">
        <v>19</v>
      </c>
      <c r="E2" s="230"/>
      <c r="F2" s="230"/>
      <c r="G2" s="230"/>
      <c r="H2" s="230"/>
      <c r="I2" s="230"/>
      <c r="J2" s="230"/>
      <c r="K2" s="230"/>
      <c r="L2" s="230"/>
      <c r="M2" s="230"/>
      <c r="N2" s="161"/>
      <c r="O2" s="121"/>
      <c r="P2" s="115"/>
      <c r="Q2" s="146"/>
      <c r="T2" s="106" t="s">
        <v>168</v>
      </c>
      <c r="U2" s="103">
        <f>E69</f>
        <v>0</v>
      </c>
      <c r="V2" s="103">
        <f>IFERROR(G69,"")</f>
        <v>0</v>
      </c>
      <c r="W2" s="103">
        <f>IFERROR(I69,"")</f>
        <v>0</v>
      </c>
      <c r="X2" s="103">
        <f>IFERROR(K69,"")</f>
        <v>0</v>
      </c>
      <c r="Y2" s="103">
        <f>IFERROR(M69,"")</f>
        <v>0</v>
      </c>
      <c r="AA2" s="95">
        <f>O76</f>
        <v>0</v>
      </c>
    </row>
    <row r="3" spans="1:29" x14ac:dyDescent="0.25">
      <c r="A3" s="12"/>
      <c r="B3" s="8"/>
      <c r="C3" s="8"/>
      <c r="D3" s="8"/>
      <c r="E3" s="229" t="s">
        <v>0</v>
      </c>
      <c r="F3" s="231"/>
      <c r="G3" s="229" t="s">
        <v>1</v>
      </c>
      <c r="H3" s="231"/>
      <c r="I3" s="229" t="s">
        <v>2</v>
      </c>
      <c r="J3" s="231"/>
      <c r="K3" s="232" t="s">
        <v>20</v>
      </c>
      <c r="L3" s="231"/>
      <c r="M3" s="232" t="s">
        <v>21</v>
      </c>
      <c r="N3" s="233"/>
      <c r="O3" s="240" t="s">
        <v>3</v>
      </c>
      <c r="P3" s="233"/>
      <c r="Q3" s="238" t="s">
        <v>202</v>
      </c>
      <c r="R3" s="238" t="s">
        <v>96</v>
      </c>
      <c r="T3" s="106" t="s">
        <v>169</v>
      </c>
      <c r="U3" s="103">
        <f>E71</f>
        <v>0</v>
      </c>
      <c r="V3" s="103">
        <f>IFERROR(G71,"")</f>
        <v>0</v>
      </c>
      <c r="W3" s="103">
        <f>IFERROR(I71,"")</f>
        <v>0</v>
      </c>
      <c r="X3" s="103">
        <f>IFERROR(K71,"")</f>
        <v>0</v>
      </c>
      <c r="Y3" s="103">
        <f>IFERROR(M71,"")</f>
        <v>0</v>
      </c>
      <c r="AA3" s="95" t="s">
        <v>270</v>
      </c>
    </row>
    <row r="4" spans="1:29" ht="15" customHeight="1" x14ac:dyDescent="0.25">
      <c r="A4" s="12" t="s">
        <v>4</v>
      </c>
      <c r="B4" s="8" t="s">
        <v>124</v>
      </c>
      <c r="C4" s="8"/>
      <c r="D4" s="8"/>
      <c r="E4" s="110" t="s">
        <v>197</v>
      </c>
      <c r="F4" s="160" t="s">
        <v>198</v>
      </c>
      <c r="G4" s="110" t="s">
        <v>197</v>
      </c>
      <c r="H4" s="160" t="s">
        <v>198</v>
      </c>
      <c r="I4" s="110" t="s">
        <v>197</v>
      </c>
      <c r="J4" s="160" t="s">
        <v>198</v>
      </c>
      <c r="K4" s="110" t="s">
        <v>197</v>
      </c>
      <c r="L4" s="160" t="s">
        <v>198</v>
      </c>
      <c r="M4" s="110" t="s">
        <v>197</v>
      </c>
      <c r="N4" s="160" t="s">
        <v>198</v>
      </c>
      <c r="O4" s="11" t="s">
        <v>197</v>
      </c>
      <c r="P4" s="165" t="s">
        <v>198</v>
      </c>
      <c r="Q4" s="238"/>
      <c r="R4" s="238"/>
      <c r="T4" s="106" t="s">
        <v>170</v>
      </c>
      <c r="U4" s="103">
        <f>E74</f>
        <v>0</v>
      </c>
      <c r="V4" s="103">
        <f>IFERROR(G74,"")</f>
        <v>0</v>
      </c>
      <c r="W4" s="103">
        <f>IFERROR(I74,"")</f>
        <v>0</v>
      </c>
      <c r="X4" s="103">
        <f>IFERROR(K74,"")</f>
        <v>0</v>
      </c>
      <c r="Y4" s="103">
        <f>IFERROR(M74,"")</f>
        <v>0</v>
      </c>
      <c r="AA4" s="95">
        <f>O81</f>
        <v>0</v>
      </c>
    </row>
    <row r="5" spans="1:29" ht="15" customHeight="1" x14ac:dyDescent="0.25">
      <c r="A5" s="68"/>
      <c r="B5" s="8" t="s">
        <v>5</v>
      </c>
      <c r="C5" s="8" t="str">
        <f>CONCATENATE(T8," ",U8)</f>
        <v>PI PI Name</v>
      </c>
      <c r="D5" s="8" t="str">
        <f>IF(NOT(ISBLANK(W8)),CONCATENATE(ROUND(W8,2)," research days"),IF(NOT(ISBLANK(X8)),CONCATENATE(ROUND(X8,2)," months"),IF(NOT(ISBLANK(Y8)),CONCATENATE(ROUND(Y8*100,2)," % AY"),"")))</f>
        <v/>
      </c>
      <c r="E5" s="69">
        <f>(IF(ISNUMBER(SEARCH("Academic",AA8)),(V8*W8*0.00541+V8*X8*22*0.00541),(V8*W8*0.00385)+(V8/12*X8))+(V8*Y8))*(IF($U$19="No",1,(1+'Input Tables'!$I$43)))</f>
        <v>0</v>
      </c>
      <c r="F5" s="160">
        <f>IF(ISNUMBER(SEARCH("Academic",AA8)),V23*V8,0)*(IF($U$19="No",1,(1+'Input Tables'!$I$43)))</f>
        <v>0</v>
      </c>
      <c r="G5" s="70">
        <f>E5*(1+'Input Tables'!$I$43)</f>
        <v>0</v>
      </c>
      <c r="H5" s="160">
        <f>IF(ISNUMBER(SEARCH("Academic",AA8)),W23*V8*(1+'Input Tables'!$I$43),0)*(IF($U$19="No",1,(1+'Input Tables'!$I$43)))</f>
        <v>0</v>
      </c>
      <c r="I5" s="70">
        <f>G5*(1+'Input Tables'!$I$43)</f>
        <v>0</v>
      </c>
      <c r="J5" s="160">
        <f>IF(ISNUMBER(SEARCH("Academic",AA8)),X23*V8*(1+'Input Tables'!$I$43)^2,0)*(IF($U$19="No",1,(1+'Input Tables'!$I$43)))</f>
        <v>0</v>
      </c>
      <c r="K5" s="70">
        <f>I5*(1+'Input Tables'!$I$43)</f>
        <v>0</v>
      </c>
      <c r="L5" s="160">
        <f>IF(ISNUMBER(SEARCH("Academic",AA8)),Y23*V8*(1+'Input Tables'!$I$43)^3,0)*(IF($U$19="No",1,(1+'Input Tables'!$I$43)))</f>
        <v>0</v>
      </c>
      <c r="M5" s="70">
        <f>K5*(1+'Input Tables'!$I$43)</f>
        <v>0</v>
      </c>
      <c r="N5" s="160">
        <f>IF(ISNUMBER(SEARCH("Academic",AA8)),Z23*V8*(1+'Input Tables'!$I$43)^4,0)*(IF($U$19="No",1,(1+'Input Tables'!$I$43)))</f>
        <v>0</v>
      </c>
      <c r="O5" s="13">
        <f t="shared" ref="O5:O16" si="0">IF(NOT(ISERROR(SUM(E5,G5,I5,K5,M5))),SUM(E5,G5,I5,K5,M5),IF(NOT(ISERROR(SUM(E5,G5,I5,K5))),SUM(E5,G5,I5,K5),IF(NOT(ISERROR(SUM(E5,G5,I5))),SUM(E5,G5,I5),IF(NOT(ISERROR(SUM(E5,G5))),SUM(E5,G5),E5))))</f>
        <v>0</v>
      </c>
      <c r="P5" s="166">
        <f t="shared" ref="P5:P16" si="1">IF(NOT(ISERROR(SUM(F5,H5,J5,L5,N5))),SUM(F5,H5,J5,L5,N5),IF(NOT(ISERROR(SUM(F5,H5,J5,L5))),SUM(F5,H5,J5,L5),IF(NOT(ISERROR(SUM(F5,H5,J5))),SUM(F5,H5,J5),IF(NOT(ISERROR(SUM(F5,H5))),SUM(F5,H5),F5))))</f>
        <v>0</v>
      </c>
      <c r="Q5" s="148"/>
      <c r="R5" s="111" t="str">
        <f>IF(AA8&lt;&gt;"Select",VLOOKUP(AA8,'Input Tables'!C3:L21,9,FALSE),"")</f>
        <v/>
      </c>
      <c r="T5" s="106" t="s">
        <v>265</v>
      </c>
      <c r="U5" s="103">
        <f>E81</f>
        <v>0</v>
      </c>
      <c r="V5" s="103">
        <f>IFERROR(G81,"")</f>
        <v>0</v>
      </c>
      <c r="W5" s="103">
        <f>IFERROR(I81,"")</f>
        <v>0</v>
      </c>
      <c r="X5" s="103">
        <f>IFERROR(K81,"")</f>
        <v>0</v>
      </c>
      <c r="Y5" s="103">
        <f>IFERROR(M81,"")</f>
        <v>0</v>
      </c>
      <c r="AA5" s="96" t="s">
        <v>191</v>
      </c>
      <c r="AC5" s="10"/>
    </row>
    <row r="6" spans="1:29" x14ac:dyDescent="0.25">
      <c r="A6" s="12"/>
      <c r="B6" s="8"/>
      <c r="D6" s="67" t="s">
        <v>135</v>
      </c>
      <c r="E6" s="69">
        <f>IF(AA8&lt;&gt;"Select",E5*(VLOOKUP(AA8,'Input Tables'!C2:H21,2,FALSE)),0)</f>
        <v>0</v>
      </c>
      <c r="F6" s="160">
        <f>IF(AA8&lt;&gt;"Select",F5*(VLOOKUP(AA8,'Input Tables'!C2:H21,2,FALSE)),0)</f>
        <v>0</v>
      </c>
      <c r="G6" s="69">
        <f>IF(AA8&lt;&gt;"Select",G5*(VLOOKUP(AA8,'Input Tables'!C3:H21,3,FALSE)),0)</f>
        <v>0</v>
      </c>
      <c r="H6" s="160">
        <f>IF(AA8&lt;&gt;"Select",H5*(VLOOKUP(AA8,'Input Tables'!C3:H21,3,FALSE)),0)</f>
        <v>0</v>
      </c>
      <c r="I6" s="69">
        <f>IF(AA8&lt;&gt;"Select",I5*(VLOOKUP(AA8,'Input Tables'!C3:H21,4,FALSE)),0)</f>
        <v>0</v>
      </c>
      <c r="J6" s="160">
        <f>IF(AA8&lt;&gt;"Select",J5*(VLOOKUP(AA8,'Input Tables'!C3:H21,4,FALSE)),0)</f>
        <v>0</v>
      </c>
      <c r="K6" s="69">
        <f>IF(AA8&lt;&gt;"Select",K5*(VLOOKUP(AA8,'Input Tables'!C3:H21,5,FALSE)),0)</f>
        <v>0</v>
      </c>
      <c r="L6" s="160">
        <f>IF(AA8&lt;&gt;"Select",L5*(VLOOKUP(AA8,'Input Tables'!C3:H21,5,FALSE)),0)</f>
        <v>0</v>
      </c>
      <c r="M6" s="69">
        <f>IF(AA8&lt;&gt;"Select",M5*(VLOOKUP(AA8,'Input Tables'!C3:H21,6,FALSE)),0)</f>
        <v>0</v>
      </c>
      <c r="N6" s="160">
        <f>IF(AA8&lt;&gt;"Select",N5*(VLOOKUP(AA8,'Input Tables'!C3:H21,6,FALSE)),0)</f>
        <v>0</v>
      </c>
      <c r="O6" s="13">
        <f t="shared" si="0"/>
        <v>0</v>
      </c>
      <c r="P6" s="166">
        <f t="shared" si="1"/>
        <v>0</v>
      </c>
      <c r="Q6" s="149" t="str">
        <f>IF(ISBLANK(Q5),"",Q5)</f>
        <v/>
      </c>
      <c r="R6" s="111" t="str">
        <f>IF(AA8&lt;&gt;"Select",VLOOKUP(AA8,'Input Tables'!C3:L21,10,FALSE),"")</f>
        <v/>
      </c>
      <c r="T6" s="107" t="s">
        <v>198</v>
      </c>
      <c r="U6" s="104">
        <f>F83</f>
        <v>0</v>
      </c>
      <c r="V6" s="104">
        <f>IFERROR(H83,"")</f>
        <v>0</v>
      </c>
      <c r="W6" s="104">
        <f>IFERROR(J83,"")</f>
        <v>0</v>
      </c>
      <c r="X6" s="104">
        <f>IFERROR(L83,"")</f>
        <v>0</v>
      </c>
      <c r="Y6" s="104">
        <f>IFERROR(N83,"")</f>
        <v>0</v>
      </c>
      <c r="Z6" s="97"/>
      <c r="AA6" s="98">
        <f>O86</f>
        <v>0</v>
      </c>
      <c r="AC6" s="10"/>
    </row>
    <row r="7" spans="1:29" ht="21" outlineLevel="1" x14ac:dyDescent="0.25">
      <c r="A7" s="68"/>
      <c r="B7" s="71" t="s">
        <v>6</v>
      </c>
      <c r="C7" s="8" t="str">
        <f>CONCATENATE(T9," ",U9)</f>
        <v>Co-PI Co-PI Name #1</v>
      </c>
      <c r="D7" s="8" t="str">
        <f>IF(NOT(ISBLANK(W9)),CONCATENATE(ROUND(W9,2)," research days"),IF(NOT(ISBLANK(X9)),CONCATENATE(ROUND(X9,2)," months"),IF(NOT(ISBLANK(Y9)),CONCATENATE(ROUND(Y9*100,2)," % AY"),"")))</f>
        <v/>
      </c>
      <c r="E7" s="69">
        <f>(IF(ISNUMBER(SEARCH("Academic",AA9)),(V9*W9*0.00541+V9*X9*22*0.00541),(V9*W9*0.00385)+(V9/12*X9))+(V9*Y9))*(IF($U$19="No",1,(1+'Input Tables'!$I$43)))</f>
        <v>0</v>
      </c>
      <c r="F7" s="160">
        <f>IF(ISNUMBER(SEARCH("Academic",AA9)),V24*V9,0)*(IF($U$19="No",1,(1+'Input Tables'!$I$43)))</f>
        <v>0</v>
      </c>
      <c r="G7" s="69">
        <f>(1+'Input Tables'!$I$43)*E7</f>
        <v>0</v>
      </c>
      <c r="H7" s="160">
        <f>IF(ISNUMBER(SEARCH("Academic",AA9)),W24*V9*(1+'Input Tables'!$I$43),0)*(IF($U$19="No",1,(1+'Input Tables'!$I$43)))</f>
        <v>0</v>
      </c>
      <c r="I7" s="69">
        <f>(1+'Input Tables'!$I$43)*G7</f>
        <v>0</v>
      </c>
      <c r="J7" s="160">
        <f>IF(ISNUMBER(SEARCH("Academic",AA9)),X24*V9*(1+'Input Tables'!$I$43)^2,0)*(IF($U$19="No",1,(1+'Input Tables'!$I$43)))</f>
        <v>0</v>
      </c>
      <c r="K7" s="69">
        <f>(1+'Input Tables'!$I$43)*I7</f>
        <v>0</v>
      </c>
      <c r="L7" s="160">
        <f>IF(ISNUMBER(SEARCH("Academic",AA9)),Y24*V9*(1+'Input Tables'!$I$43)^3,0)*(IF($U$19="No",1,(1+'Input Tables'!$I$43)))</f>
        <v>0</v>
      </c>
      <c r="M7" s="69">
        <f>(1+'Input Tables'!$I$43)*K7</f>
        <v>0</v>
      </c>
      <c r="N7" s="160">
        <f>IF(ISNUMBER(SEARCH("Academic",AA9)),Z24*V9*(1+'Input Tables'!$I$43)^4,0)*(IF($U$19="No",1,(1+'Input Tables'!$I$43)))</f>
        <v>0</v>
      </c>
      <c r="O7" s="13">
        <f t="shared" si="0"/>
        <v>0</v>
      </c>
      <c r="P7" s="166">
        <f t="shared" si="1"/>
        <v>0</v>
      </c>
      <c r="Q7" s="148"/>
      <c r="R7" s="111" t="str">
        <f>IF(AA9&lt;&gt;"Select",VLOOKUP(AA9,'Input Tables'!C3:L21,9,FALSE),"")</f>
        <v/>
      </c>
      <c r="T7" s="31" t="s">
        <v>166</v>
      </c>
      <c r="U7" s="31" t="s">
        <v>122</v>
      </c>
      <c r="V7" s="31" t="s">
        <v>104</v>
      </c>
      <c r="W7" s="122" t="s">
        <v>271</v>
      </c>
      <c r="X7" s="122" t="s">
        <v>141</v>
      </c>
      <c r="Y7" s="143" t="s">
        <v>258</v>
      </c>
      <c r="Z7" s="31" t="s">
        <v>142</v>
      </c>
      <c r="AA7" s="31" t="s">
        <v>127</v>
      </c>
    </row>
    <row r="8" spans="1:29" ht="15" customHeight="1" outlineLevel="1" x14ac:dyDescent="0.25">
      <c r="A8" s="12"/>
      <c r="B8" s="71"/>
      <c r="D8" s="67" t="s">
        <v>135</v>
      </c>
      <c r="E8" s="69">
        <f>IF(AA9&lt;&gt;"Select",E7*(VLOOKUP(AA9,'Input Tables'!C3:H21,2,FALSE)),0)</f>
        <v>0</v>
      </c>
      <c r="F8" s="160">
        <f>IF(AA9&lt;&gt;"Select",F7*(VLOOKUP(AA9,'Input Tables'!C2:H21,2,FALSE)),0)</f>
        <v>0</v>
      </c>
      <c r="G8" s="69">
        <f>IF(AA9&lt;&gt;"Select",G7*(VLOOKUP(AA9,'Input Tables'!C3:H21,3,FALSE)),0)</f>
        <v>0</v>
      </c>
      <c r="H8" s="160">
        <f>IF(AA9&lt;&gt;"Select",H7*(VLOOKUP(AA9,'Input Tables'!C3:H21,3,FALSE)),0)</f>
        <v>0</v>
      </c>
      <c r="I8" s="69">
        <f>IF(AA9&lt;&gt;"Select",I7*(VLOOKUP(AA9,'Input Tables'!C3:H21,4,FALSE)),0)</f>
        <v>0</v>
      </c>
      <c r="J8" s="160">
        <f>IF(AA9&lt;&gt;"Select",J7*(VLOOKUP(AA9,'Input Tables'!C3:H21,4,FALSE)),0)</f>
        <v>0</v>
      </c>
      <c r="K8" s="69">
        <f>IF(AA9&lt;&gt;"Select",K7*(VLOOKUP(AA9,'Input Tables'!C3:H21,5,FALSE)),0)</f>
        <v>0</v>
      </c>
      <c r="L8" s="160">
        <f>IF(AA9&lt;&gt;"Select",L7*(VLOOKUP(AA9,'Input Tables'!C3:H21,5,FALSE)),0)</f>
        <v>0</v>
      </c>
      <c r="M8" s="69">
        <f>IF(AA9&lt;&gt;"Select",M7*(VLOOKUP(AA9,'Input Tables'!C3:H21,6,FALSE)),0)</f>
        <v>0</v>
      </c>
      <c r="N8" s="160">
        <f>IF(AA9&lt;&gt;"Select",N7*(VLOOKUP(AA9,'Input Tables'!C3:H21,6,FALSE)),0)</f>
        <v>0</v>
      </c>
      <c r="O8" s="13">
        <f t="shared" si="0"/>
        <v>0</v>
      </c>
      <c r="P8" s="166">
        <f t="shared" si="1"/>
        <v>0</v>
      </c>
      <c r="Q8" s="149" t="str">
        <f>IF(ISBLANK(Q7),"",Q7)</f>
        <v/>
      </c>
      <c r="R8" s="111" t="str">
        <f>IF(AA9&lt;&gt;"Select",VLOOKUP(AA9,'Input Tables'!C3:L21,10,FALSE),"")</f>
        <v/>
      </c>
      <c r="T8" s="25" t="s">
        <v>105</v>
      </c>
      <c r="U8" s="33" t="s">
        <v>200</v>
      </c>
      <c r="V8" s="33"/>
      <c r="W8" s="37"/>
      <c r="X8" s="99"/>
      <c r="Y8" s="133"/>
      <c r="Z8" s="37"/>
      <c r="AA8" s="35" t="s">
        <v>152</v>
      </c>
      <c r="AB8" s="14"/>
      <c r="AC8" s="15"/>
    </row>
    <row r="9" spans="1:29" outlineLevel="1" x14ac:dyDescent="0.25">
      <c r="A9" s="68"/>
      <c r="B9" s="71" t="s">
        <v>7</v>
      </c>
      <c r="C9" s="8" t="str">
        <f>CONCATENATE(T10," ",U10)</f>
        <v>Co-PI Co-PI Name #2</v>
      </c>
      <c r="D9" s="8" t="str">
        <f>IF(NOT(ISBLANK(W10)),CONCATENATE(ROUND(W10,2)," research days"),IF(NOT(ISBLANK(X10)),CONCATENATE(ROUND(X10,2)," months"),IF(NOT(ISBLANK(Y10)),CONCATENATE(ROUND(Y10*100,2)," % AY"),"")))</f>
        <v/>
      </c>
      <c r="E9" s="69">
        <f>(IF(ISNUMBER(SEARCH("Academic",AA10)),(V10*W10*0.00541+V10*X10*22*0.00541),(V10*W10*0.00385)+(V10/12*X10))+(V10*Y10))*(IF($U$19="No",1,(1+'Input Tables'!$I$43)))</f>
        <v>0</v>
      </c>
      <c r="F9" s="160">
        <f>IF(ISNUMBER(SEARCH("Academic",AA10)),V25*V10,0)*(IF($U$19="No",1,(1+'Input Tables'!$I$43)))</f>
        <v>0</v>
      </c>
      <c r="G9" s="69">
        <f>(1+'Input Tables'!$I$43)*E9</f>
        <v>0</v>
      </c>
      <c r="H9" s="160">
        <f>IF(ISNUMBER(SEARCH("Academic",AA10)),W25*V10*(1+'Input Tables'!$I$43),0)*(IF($U$19="No",1,(1+'Input Tables'!$I$43)))</f>
        <v>0</v>
      </c>
      <c r="I9" s="69">
        <f>(1+'Input Tables'!$I$43)*G9</f>
        <v>0</v>
      </c>
      <c r="J9" s="160">
        <f>IF(ISNUMBER(SEARCH("Academic",AA10)),X25*V10*(1+'Input Tables'!$I$43)^2,0)*(IF($U$19="No",1,(1+'Input Tables'!$I$43)))</f>
        <v>0</v>
      </c>
      <c r="K9" s="69">
        <f>(1+'Input Tables'!$I$43)*I9</f>
        <v>0</v>
      </c>
      <c r="L9" s="160">
        <f>IF(ISNUMBER(SEARCH("Academic",AA10)),Y25*V10*(1+'Input Tables'!$I$43)^3,0)*(IF($U$19="No",1,(1+'Input Tables'!$I$43)))</f>
        <v>0</v>
      </c>
      <c r="M9" s="69">
        <f>(1+'Input Tables'!$I$43)*K9</f>
        <v>0</v>
      </c>
      <c r="N9" s="160">
        <f>IF(ISNUMBER(SEARCH("Academic",AA10)),Z25*V10*(1+'Input Tables'!$I$43)^4,0)*(IF($U$19="No",1,(1+'Input Tables'!$I$43)))</f>
        <v>0</v>
      </c>
      <c r="O9" s="13">
        <f t="shared" si="0"/>
        <v>0</v>
      </c>
      <c r="P9" s="166">
        <f t="shared" si="1"/>
        <v>0</v>
      </c>
      <c r="Q9" s="148"/>
      <c r="R9" s="111" t="str">
        <f>IF(AA10&lt;&gt;"Select",VLOOKUP(AA10,'Input Tables'!C3:L21,9,FALSE),"")</f>
        <v/>
      </c>
      <c r="T9" s="8" t="s">
        <v>106</v>
      </c>
      <c r="U9" s="33" t="s">
        <v>155</v>
      </c>
      <c r="V9" s="33"/>
      <c r="W9" s="37"/>
      <c r="X9" s="99"/>
      <c r="Y9" s="133"/>
      <c r="Z9" s="37"/>
      <c r="AA9" s="35" t="s">
        <v>152</v>
      </c>
    </row>
    <row r="10" spans="1:29" outlineLevel="1" x14ac:dyDescent="0.25">
      <c r="A10" s="12"/>
      <c r="B10" s="71"/>
      <c r="D10" s="67" t="s">
        <v>135</v>
      </c>
      <c r="E10" s="69">
        <f>IF(AA10&lt;&gt;"Select",E9*(VLOOKUP(AA10,'Input Tables'!C3:H21,2,FALSE)),0)</f>
        <v>0</v>
      </c>
      <c r="F10" s="160">
        <f>IF(AA10&lt;&gt;"Select",F9*(VLOOKUP(AA10,'Input Tables'!C2:H21,2,FALSE)),0)</f>
        <v>0</v>
      </c>
      <c r="G10" s="69">
        <f>IF(AA10&lt;&gt;"Select",G9*(VLOOKUP(AA10,'Input Tables'!C3:H21,3,FALSE)),0)</f>
        <v>0</v>
      </c>
      <c r="H10" s="160">
        <f>IF(AA10&lt;&gt;"Select",H9*(VLOOKUP(AA10,'Input Tables'!C3:H21,3,FALSE)),0)</f>
        <v>0</v>
      </c>
      <c r="I10" s="69">
        <f>IF(AA10&lt;&gt;"Select",I9*(VLOOKUP(AA10,'Input Tables'!C3:H21,4,FALSE)),0)</f>
        <v>0</v>
      </c>
      <c r="J10" s="160">
        <f>IF(AA10&lt;&gt;"Select",J9*(VLOOKUP(AA10,'Input Tables'!C3:H21,4,FALSE)),0)</f>
        <v>0</v>
      </c>
      <c r="K10" s="69">
        <f>IF(AA10&lt;&gt;"Select",K9*(VLOOKUP(AA10,'Input Tables'!C3:H21,5,FALSE)),0)</f>
        <v>0</v>
      </c>
      <c r="L10" s="160">
        <f>IF(AA10&lt;&gt;"Select",L9*(VLOOKUP(AA10,'Input Tables'!C3:H21,5,FALSE)),0)</f>
        <v>0</v>
      </c>
      <c r="M10" s="69">
        <f>IF(AA10&lt;&gt;"Select",M9*(VLOOKUP(AA10,'Input Tables'!C3:H21,6,FALSE)),0)</f>
        <v>0</v>
      </c>
      <c r="N10" s="160">
        <f>IF(AA10&lt;&gt;"Select",N9*(VLOOKUP(AA10,'Input Tables'!C3:H21,6,FALSE)),0)</f>
        <v>0</v>
      </c>
      <c r="O10" s="13">
        <f t="shared" si="0"/>
        <v>0</v>
      </c>
      <c r="P10" s="166">
        <f t="shared" si="1"/>
        <v>0</v>
      </c>
      <c r="Q10" s="149" t="str">
        <f>IF(ISBLANK(Q9),"",Q9)</f>
        <v/>
      </c>
      <c r="R10" s="111" t="str">
        <f>IF(AA10&lt;&gt;"Select",VLOOKUP(AA10,'Input Tables'!C3:L21,10,FALSE),"")</f>
        <v/>
      </c>
      <c r="T10" s="8" t="s">
        <v>106</v>
      </c>
      <c r="U10" s="33" t="s">
        <v>143</v>
      </c>
      <c r="V10" s="33"/>
      <c r="W10" s="37"/>
      <c r="X10" s="99"/>
      <c r="Y10" s="133"/>
      <c r="Z10" s="37"/>
      <c r="AA10" s="35" t="s">
        <v>152</v>
      </c>
      <c r="AB10" s="16"/>
      <c r="AC10" s="15"/>
    </row>
    <row r="11" spans="1:29" outlineLevel="1" x14ac:dyDescent="0.25">
      <c r="A11" s="68"/>
      <c r="B11" s="71" t="s">
        <v>8</v>
      </c>
      <c r="C11" s="8" t="str">
        <f>CONCATENATE(T11," ",U11)</f>
        <v>Co-PI Co-PI Name #3</v>
      </c>
      <c r="D11" s="8" t="str">
        <f>IF(NOT(ISBLANK(W11)),CONCATENATE(ROUND(W11,2)," research days"),IF(NOT(ISBLANK(X11)),CONCATENATE(ROUND(X11,2)," months"),IF(NOT(ISBLANK(Y11)),CONCATENATE(ROUND(Y11*100,2)," % AY"),"")))</f>
        <v/>
      </c>
      <c r="E11" s="69">
        <f>(IF(ISNUMBER(SEARCH("Academic",AA11)),(V11*W11*0.00541+V11*X11*22*0.00541),(V11*W11*0.00385)+(V11/12*X11))+(V11*Y11))*(IF($U$19="No",1,(1+'Input Tables'!$I$43)))</f>
        <v>0</v>
      </c>
      <c r="F11" s="160">
        <f>IF(ISNUMBER(SEARCH("Academic",AA11)),V26*V11,0)*(IF($U$19="No",1,(1+'Input Tables'!$I$43)))</f>
        <v>0</v>
      </c>
      <c r="G11" s="69">
        <f>(1+'Input Tables'!$I$43)*E11</f>
        <v>0</v>
      </c>
      <c r="H11" s="160">
        <f>IF(ISNUMBER(SEARCH("Academic",AA11)),W26*V11*(1+'Input Tables'!$I$43),0)*(IF($U$19="No",1,(1+'Input Tables'!$I$43)))</f>
        <v>0</v>
      </c>
      <c r="I11" s="69">
        <f>(1+'Input Tables'!$I$43)*G11</f>
        <v>0</v>
      </c>
      <c r="J11" s="160">
        <f>IF(ISNUMBER(SEARCH("Academic",AA11)),X26*V11*(1+'Input Tables'!$I$43)^2,0)*(IF($U$19="No",1,(1+'Input Tables'!$I$43)))</f>
        <v>0</v>
      </c>
      <c r="K11" s="69">
        <f>(1+'Input Tables'!$I$43)*I11</f>
        <v>0</v>
      </c>
      <c r="L11" s="160">
        <f>IF(ISNUMBER(SEARCH("Academic",AA11)),Y26*V11*(1+'Input Tables'!$I$43)^3,0)*(IF($U$19="No",1,(1+'Input Tables'!$I$43)))</f>
        <v>0</v>
      </c>
      <c r="M11" s="69">
        <f>(1+'Input Tables'!$I$43)*K11</f>
        <v>0</v>
      </c>
      <c r="N11" s="160">
        <f>IF(ISNUMBER(SEARCH("Academic",AA11)),Z26*V11*(1+'Input Tables'!$I$43)^4,0)*(IF($U$19="No",1,(1+'Input Tables'!$I$43)))</f>
        <v>0</v>
      </c>
      <c r="O11" s="13">
        <f t="shared" si="0"/>
        <v>0</v>
      </c>
      <c r="P11" s="166">
        <f t="shared" si="1"/>
        <v>0</v>
      </c>
      <c r="Q11" s="148"/>
      <c r="R11" s="111" t="str">
        <f>IF(AA11&lt;&gt;"Select",VLOOKUP(AA11,'Input Tables'!C3:L21,9,FALSE),"")</f>
        <v/>
      </c>
      <c r="T11" s="8" t="s">
        <v>106</v>
      </c>
      <c r="U11" s="33" t="s">
        <v>144</v>
      </c>
      <c r="V11" s="33"/>
      <c r="W11" s="37"/>
      <c r="X11" s="99"/>
      <c r="Y11" s="133"/>
      <c r="Z11" s="37"/>
      <c r="AA11" s="35" t="s">
        <v>152</v>
      </c>
    </row>
    <row r="12" spans="1:29" outlineLevel="1" x14ac:dyDescent="0.25">
      <c r="A12" s="12"/>
      <c r="B12" s="71"/>
      <c r="D12" s="67" t="s">
        <v>135</v>
      </c>
      <c r="E12" s="69">
        <f>IF(AA11&lt;&gt;"Select",E11*(VLOOKUP(AA11,'Input Tables'!C3:H21,2,FALSE)),0)</f>
        <v>0</v>
      </c>
      <c r="F12" s="160">
        <f>IF(AA11&lt;&gt;"Select",F11*(VLOOKUP(AA11,'Input Tables'!C2:H21,2,FALSE)),0)</f>
        <v>0</v>
      </c>
      <c r="G12" s="69">
        <f>IF(AA11&lt;&gt;"Select",G11*(VLOOKUP(AA11,'Input Tables'!C3:H21,3,FALSE)),0)</f>
        <v>0</v>
      </c>
      <c r="H12" s="160">
        <f>IF(AA11&lt;&gt;"Select",H11*(VLOOKUP(AA11,'Input Tables'!C3:H21,3,FALSE)),0)</f>
        <v>0</v>
      </c>
      <c r="I12" s="69">
        <f>IF(AA11&lt;&gt;"Select",I11*(VLOOKUP(AA11,'Input Tables'!C3:H21,4,FALSE)),0)</f>
        <v>0</v>
      </c>
      <c r="J12" s="160">
        <f>IF(AA11&lt;&gt;"Select",J11*(VLOOKUP(AA11,'Input Tables'!C3:H21,4,FALSE)),0)</f>
        <v>0</v>
      </c>
      <c r="K12" s="69">
        <f>IF(AA11&lt;&gt;"Select",K11*(VLOOKUP(AA11,'Input Tables'!C3:H21,5,FALSE)),0)</f>
        <v>0</v>
      </c>
      <c r="L12" s="160">
        <f>IF(AA11&lt;&gt;"Select",L11*(VLOOKUP(AA11,'Input Tables'!C3:H21,5,FALSE)),0)</f>
        <v>0</v>
      </c>
      <c r="M12" s="69">
        <f>IF(AA11&lt;&gt;"Select",M11*(VLOOKUP(AA11,'Input Tables'!C3:H21,6,FALSE)),0)</f>
        <v>0</v>
      </c>
      <c r="N12" s="160">
        <f>IF(AA11&lt;&gt;"Select",N11*(VLOOKUP(AA11,'Input Tables'!C3:H21,6,FALSE)),0)</f>
        <v>0</v>
      </c>
      <c r="O12" s="13">
        <f t="shared" si="0"/>
        <v>0</v>
      </c>
      <c r="P12" s="166">
        <f t="shared" si="1"/>
        <v>0</v>
      </c>
      <c r="Q12" s="149" t="str">
        <f>IF(ISBLANK(Q11),"",Q11)</f>
        <v/>
      </c>
      <c r="R12" s="111" t="str">
        <f>IF(AA11&lt;&gt;"Select",VLOOKUP(AA11,'Input Tables'!C3:L21,10,FALSE),"")</f>
        <v/>
      </c>
      <c r="T12" s="8" t="s">
        <v>106</v>
      </c>
      <c r="U12" s="33" t="s">
        <v>145</v>
      </c>
      <c r="V12" s="33"/>
      <c r="W12" s="38"/>
      <c r="X12" s="100"/>
      <c r="Y12" s="133"/>
      <c r="Z12" s="38"/>
      <c r="AA12" s="35" t="s">
        <v>152</v>
      </c>
      <c r="AB12" s="15"/>
      <c r="AC12" s="15"/>
    </row>
    <row r="13" spans="1:29" outlineLevel="1" x14ac:dyDescent="0.25">
      <c r="A13" s="72"/>
      <c r="B13" s="71" t="s">
        <v>10</v>
      </c>
      <c r="C13" s="8" t="str">
        <f>CONCATENATE(T12," ",U12)</f>
        <v>Co-PI Co-PI Name #4</v>
      </c>
      <c r="D13" s="8" t="str">
        <f>IF(NOT(ISBLANK(W12)),CONCATENATE(ROUND(W12,2)," research days"),IF(NOT(ISBLANK(X12)),CONCATENATE(ROUND(X12,2)," months"),IF(NOT(ISBLANK(Y12)),CONCATENATE(ROUND(Y12*100,2)," % AY"),"")))</f>
        <v/>
      </c>
      <c r="E13" s="69">
        <f>(IF(ISNUMBER(SEARCH("Academic",AA12)),(V12*W12*0.00541+V12*X12*22*0.00541),(V12*W12*0.00385)+(V12/12*X12))+(V12*Y12))*(IF($U$19="No",1,(1+'Input Tables'!$I$43)))</f>
        <v>0</v>
      </c>
      <c r="F13" s="160">
        <f>IF(ISNUMBER(SEARCH("Academic",AA12)),V27*V12,0)*(IF($U$19="No",1,(1+'Input Tables'!$I$43)))</f>
        <v>0</v>
      </c>
      <c r="G13" s="69">
        <f>(1+'Input Tables'!$I$43)*E13</f>
        <v>0</v>
      </c>
      <c r="H13" s="160">
        <f>IF(ISNUMBER(SEARCH("Academic",AA12)),W27*V12*(1+'Input Tables'!$I$43),0)*(IF($U$19="No",1,(1+'Input Tables'!$I$43)))</f>
        <v>0</v>
      </c>
      <c r="I13" s="69">
        <f>(1+'Input Tables'!$I$43)*G13</f>
        <v>0</v>
      </c>
      <c r="J13" s="160">
        <f>IF(ISNUMBER(SEARCH("Academic",AA12)),X27*V12*(1+'Input Tables'!$I$43)^2,0)*(IF($U$19="No",1,(1+'Input Tables'!$I$43)))</f>
        <v>0</v>
      </c>
      <c r="K13" s="69">
        <f>(1+'Input Tables'!$I$43)*I13</f>
        <v>0</v>
      </c>
      <c r="L13" s="160">
        <f>IF(ISNUMBER(SEARCH("Academic",AA12)),Y27*V12*(1+'Input Tables'!$I$43)^3,0)*(IF($U$19="No",1,(1+'Input Tables'!$I$43)))</f>
        <v>0</v>
      </c>
      <c r="M13" s="69">
        <f>(1+'Input Tables'!$I$43)*K13</f>
        <v>0</v>
      </c>
      <c r="N13" s="160">
        <f>IF(ISNUMBER(SEARCH("Academic",AA12)),Z27*V12*(1+'Input Tables'!$I$43)^4,0)*(IF($U$19="No",1,(1+'Input Tables'!$I$43)))</f>
        <v>0</v>
      </c>
      <c r="O13" s="13">
        <f t="shared" si="0"/>
        <v>0</v>
      </c>
      <c r="P13" s="166">
        <f t="shared" si="1"/>
        <v>0</v>
      </c>
      <c r="Q13" s="148"/>
      <c r="R13" s="111" t="str">
        <f>IF(AA12&lt;&gt;"Select",VLOOKUP(AA12,'Input Tables'!C3:L21,9,FALSE),"")</f>
        <v/>
      </c>
      <c r="T13" s="8" t="s">
        <v>119</v>
      </c>
      <c r="U13" s="25"/>
      <c r="V13" s="33"/>
      <c r="W13" s="39"/>
      <c r="X13" s="101"/>
      <c r="Y13" s="133"/>
      <c r="Z13" s="39"/>
      <c r="AA13" s="35" t="s">
        <v>152</v>
      </c>
    </row>
    <row r="14" spans="1:29" s="24" customFormat="1" ht="15" customHeight="1" outlineLevel="1" x14ac:dyDescent="0.25">
      <c r="A14" s="72"/>
      <c r="B14" s="73"/>
      <c r="D14" s="67" t="s">
        <v>135</v>
      </c>
      <c r="E14" s="69">
        <f>IF(AA12&lt;&gt;"Select",E13*(VLOOKUP(AA12,'Input Tables'!C3:H21,2,FALSE)),0)</f>
        <v>0</v>
      </c>
      <c r="F14" s="160">
        <f>IF(AA12&lt;&gt;"Select",F13*(VLOOKUP(AA12,'Input Tables'!C2:H21,2,FALSE)),0)</f>
        <v>0</v>
      </c>
      <c r="G14" s="69">
        <f>IF(AA12&lt;&gt;"Select",G13*(VLOOKUP(AA12,'Input Tables'!C3:H21,3,FALSE)),0)</f>
        <v>0</v>
      </c>
      <c r="H14" s="160">
        <f>IF(AA12&lt;&gt;"Select",H13*(VLOOKUP(AA12,'Input Tables'!C3:H21,3,FALSE)),0)</f>
        <v>0</v>
      </c>
      <c r="I14" s="69">
        <f>IF(AA12&lt;&gt;"Select",I13*(VLOOKUP(AA12,'Input Tables'!C3:H21,4,FALSE)),0)</f>
        <v>0</v>
      </c>
      <c r="J14" s="160">
        <f>IF(AA12&lt;&gt;"Select",J13*(VLOOKUP(AA12,'Input Tables'!C3:H21,4,FALSE)),0)</f>
        <v>0</v>
      </c>
      <c r="K14" s="69">
        <f>IF(AA12&lt;&gt;"Select",K13*(VLOOKUP(AA12,'Input Tables'!C3:H21,5,FALSE)),0)</f>
        <v>0</v>
      </c>
      <c r="L14" s="160">
        <f>IF(AA12&lt;&gt;"Select",L13*(VLOOKUP(AA12,'Input Tables'!C3:H21,5,FALSE)),0)</f>
        <v>0</v>
      </c>
      <c r="M14" s="69">
        <f>IF(AA12&lt;&gt;"Select",M13*(VLOOKUP(AA12,'Input Tables'!C3:H21,6,FALSE)),0)</f>
        <v>0</v>
      </c>
      <c r="N14" s="160">
        <f>IF(AA12&lt;&gt;"Select",N13*(VLOOKUP(AA12,'Input Tables'!C3:H21,6,FALSE)),0)</f>
        <v>0</v>
      </c>
      <c r="O14" s="13">
        <f t="shared" si="0"/>
        <v>0</v>
      </c>
      <c r="P14" s="166">
        <f t="shared" si="1"/>
        <v>0</v>
      </c>
      <c r="Q14" s="149" t="str">
        <f>IF(ISBLANK(Q13),"",Q13)</f>
        <v/>
      </c>
      <c r="R14" s="111" t="str">
        <f>IF(AA12&lt;&gt;"Select",VLOOKUP(AA12,'Input Tables'!C3:L21,10,FALSE),"")</f>
        <v/>
      </c>
      <c r="S14" s="23"/>
      <c r="T14" s="8" t="s">
        <v>119</v>
      </c>
      <c r="U14" s="25"/>
      <c r="V14" s="33"/>
      <c r="W14" s="39"/>
      <c r="X14" s="101"/>
      <c r="Y14" s="133"/>
      <c r="Z14" s="39"/>
      <c r="AA14" s="35" t="s">
        <v>152</v>
      </c>
      <c r="AB14" s="23"/>
      <c r="AC14" s="23"/>
    </row>
    <row r="15" spans="1:29" s="24" customFormat="1" x14ac:dyDescent="0.25">
      <c r="A15" s="74"/>
      <c r="B15" s="75"/>
      <c r="C15" s="89" t="s">
        <v>184</v>
      </c>
      <c r="D15" s="22"/>
      <c r="E15" s="18">
        <f>SUM(E5,E7,E9,E11,E13)</f>
        <v>0</v>
      </c>
      <c r="F15" s="177">
        <f>SUM(F5,F7,F9,F11,F13)</f>
        <v>0</v>
      </c>
      <c r="G15" s="18">
        <f t="shared" ref="G15:M15" si="2">SUM(G5,G7,G9,G11,G13)</f>
        <v>0</v>
      </c>
      <c r="H15" s="177">
        <f>SUM(H5,H7,H9,H11,H13)</f>
        <v>0</v>
      </c>
      <c r="I15" s="18">
        <f t="shared" si="2"/>
        <v>0</v>
      </c>
      <c r="J15" s="177">
        <f>SUM(J5,J7,J9,J11,J13)</f>
        <v>0</v>
      </c>
      <c r="K15" s="18">
        <f t="shared" si="2"/>
        <v>0</v>
      </c>
      <c r="L15" s="177">
        <f>SUM(L5,L7,L9,L11,L13)</f>
        <v>0</v>
      </c>
      <c r="M15" s="18">
        <f t="shared" si="2"/>
        <v>0</v>
      </c>
      <c r="N15" s="177">
        <f>SUM(N5,N7,N9,N11,N13)</f>
        <v>0</v>
      </c>
      <c r="O15" s="17">
        <f t="shared" si="0"/>
        <v>0</v>
      </c>
      <c r="P15" s="178">
        <f t="shared" si="1"/>
        <v>0</v>
      </c>
      <c r="Q15" s="150"/>
      <c r="R15" s="112"/>
      <c r="S15" s="23"/>
      <c r="T15" s="8" t="s">
        <v>120</v>
      </c>
      <c r="U15" s="36" t="s">
        <v>80</v>
      </c>
      <c r="V15" s="196">
        <f>IF(T15="Undergrad Res Asst",'Input Tables'!M26,VLOOKUP(U15,'Input Tables'!A25:B43,2,FALSE))</f>
        <v>32000</v>
      </c>
      <c r="W15" s="39"/>
      <c r="X15" s="101"/>
      <c r="Y15" s="87"/>
      <c r="Z15" s="197" t="s">
        <v>156</v>
      </c>
      <c r="AA15" s="35" t="str">
        <f>IF(T15="Undergrad Res Asst","None (Hourly)",IF(U15="hourly","None (Hourly)","GRA Tuition"))</f>
        <v>GRA Tuition</v>
      </c>
      <c r="AB15" s="23"/>
      <c r="AC15" s="23"/>
    </row>
    <row r="16" spans="1:29" x14ac:dyDescent="0.25">
      <c r="A16" s="74"/>
      <c r="B16" s="75"/>
      <c r="C16" s="89" t="s">
        <v>185</v>
      </c>
      <c r="D16" s="22"/>
      <c r="E16" s="18">
        <f>SUM(E6,E8,E10,E12,E14)</f>
        <v>0</v>
      </c>
      <c r="F16" s="177">
        <f>SUM(F6,F8,F10,F12,F14)</f>
        <v>0</v>
      </c>
      <c r="G16" s="18">
        <f t="shared" ref="G16:M16" si="3">SUM(G6,G8,G10,G12,G14)</f>
        <v>0</v>
      </c>
      <c r="H16" s="177">
        <f>SUM(H6,H8,H10,H12,H14)</f>
        <v>0</v>
      </c>
      <c r="I16" s="18">
        <f t="shared" si="3"/>
        <v>0</v>
      </c>
      <c r="J16" s="177">
        <f>SUM(J6,J8,J10,J12,J14)</f>
        <v>0</v>
      </c>
      <c r="K16" s="18">
        <f t="shared" si="3"/>
        <v>0</v>
      </c>
      <c r="L16" s="177">
        <f>SUM(L6,L8,L10,L12,L14)</f>
        <v>0</v>
      </c>
      <c r="M16" s="18">
        <f t="shared" si="3"/>
        <v>0</v>
      </c>
      <c r="N16" s="177">
        <f>SUM(N6,N8,N10,N12,N14)</f>
        <v>0</v>
      </c>
      <c r="O16" s="17">
        <f t="shared" si="0"/>
        <v>0</v>
      </c>
      <c r="P16" s="178">
        <f t="shared" si="1"/>
        <v>0</v>
      </c>
      <c r="Q16" s="150"/>
      <c r="R16" s="112"/>
      <c r="T16" s="8" t="s">
        <v>120</v>
      </c>
      <c r="U16" s="36" t="str">
        <f>IF(T16="Undergrad Res Asst","Hourly","N/A")</f>
        <v>N/A</v>
      </c>
      <c r="V16" s="196">
        <f>IF(T16="Undergrad Res Asst",'Input Tables'!M26,VLOOKUP(U16,'Input Tables'!A25:B43,2,FALSE))</f>
        <v>0</v>
      </c>
      <c r="W16" s="39"/>
      <c r="X16" s="101"/>
      <c r="Y16" s="87"/>
      <c r="Z16" s="197" t="s">
        <v>156</v>
      </c>
      <c r="AA16" s="35" t="str">
        <f t="shared" ref="AA16:AA17" si="4">IF(T16="Undergrad Res Asst","None (Hourly)",IF(U16="hourly","None (Hourly)","GRA Tuition"))</f>
        <v>GRA Tuition</v>
      </c>
    </row>
    <row r="17" spans="1:29" ht="15" customHeight="1" x14ac:dyDescent="0.25">
      <c r="A17" s="12"/>
      <c r="C17" s="67"/>
      <c r="D17" s="67"/>
      <c r="E17" s="70"/>
      <c r="F17" s="160"/>
      <c r="G17" s="70"/>
      <c r="H17" s="160"/>
      <c r="I17" s="70"/>
      <c r="J17" s="160"/>
      <c r="K17" s="70"/>
      <c r="L17" s="160"/>
      <c r="M17" s="70"/>
      <c r="N17" s="160"/>
      <c r="O17" s="13"/>
      <c r="P17" s="166"/>
      <c r="Q17" s="151"/>
      <c r="R17" s="86"/>
      <c r="T17" s="8" t="s">
        <v>121</v>
      </c>
      <c r="U17" s="36" t="str">
        <f>IF(T17="Undergrad Res Asst","Hourly","N/A")</f>
        <v>Hourly</v>
      </c>
      <c r="V17" s="34">
        <f>IF(T17="Undergrad Res Asst",'Input Tables'!O25,VLOOKUP(U17,'Input Tables'!A25:B43,2,FALSE))</f>
        <v>13.65</v>
      </c>
      <c r="W17" s="39"/>
      <c r="X17" s="101"/>
      <c r="Y17" s="87"/>
      <c r="Z17" s="197" t="s">
        <v>278</v>
      </c>
      <c r="AA17" s="35" t="str">
        <f t="shared" si="4"/>
        <v>None (Hourly)</v>
      </c>
    </row>
    <row r="18" spans="1:29" ht="15" customHeight="1" x14ac:dyDescent="0.25">
      <c r="A18" s="175" t="s">
        <v>9</v>
      </c>
      <c r="B18" s="71" t="s">
        <v>123</v>
      </c>
      <c r="C18" s="67"/>
      <c r="D18" s="67"/>
      <c r="E18" s="70"/>
      <c r="F18" s="160"/>
      <c r="G18" s="70"/>
      <c r="H18" s="160"/>
      <c r="I18" s="70"/>
      <c r="J18" s="160"/>
      <c r="K18" s="70"/>
      <c r="L18" s="160"/>
      <c r="M18" s="70"/>
      <c r="N18" s="160"/>
      <c r="O18" s="13"/>
      <c r="P18" s="166"/>
      <c r="Q18" s="151"/>
      <c r="R18" s="86"/>
    </row>
    <row r="19" spans="1:29" ht="15" customHeight="1" outlineLevel="1" x14ac:dyDescent="0.25">
      <c r="A19" s="68"/>
      <c r="B19" s="71" t="s">
        <v>24</v>
      </c>
      <c r="C19" s="8" t="str">
        <f>T13</f>
        <v>Postdoc</v>
      </c>
      <c r="D19" s="8" t="str">
        <f>IF(NOT(ISBLANK(W13)),CONCATENATE(ROUND(W13,2)," research days"),IF(NOT(ISBLANK(X13)),CONCATENATE(ROUND(X13,2)," months"),IF(NOT(ISBLANK(Y13)),CONCATENATE(ROUND(Y13*100,2)," % AY"),"")))</f>
        <v/>
      </c>
      <c r="E19" s="69">
        <f>(IF(ISNUMBER(SEARCH("Academic",AA13)),(V13*W13*0.00541+V13*X13*22*0.00541),(V13*W13*0.00385)+(V13/12*X13))+(V13*Y13))</f>
        <v>0</v>
      </c>
      <c r="F19" s="160">
        <v>0</v>
      </c>
      <c r="G19" s="70">
        <f>(1+'Input Tables'!$I$43)*E19</f>
        <v>0</v>
      </c>
      <c r="H19" s="160">
        <v>0</v>
      </c>
      <c r="I19" s="70">
        <f>(1+'Input Tables'!$I$43)*G19</f>
        <v>0</v>
      </c>
      <c r="J19" s="160">
        <v>0</v>
      </c>
      <c r="K19" s="70">
        <f>(1+'Input Tables'!$I$43)*I19</f>
        <v>0</v>
      </c>
      <c r="L19" s="160">
        <v>0</v>
      </c>
      <c r="M19" s="70">
        <f>(1+'Input Tables'!$I$43)*K19</f>
        <v>0</v>
      </c>
      <c r="N19" s="160">
        <v>0</v>
      </c>
      <c r="O19" s="13">
        <f t="shared" ref="O19:P25" si="5">IF(NOT(ISERROR(SUM(E19,G19,I19,K19,M19))),SUM(E19,G19,I19,K19,M19),IF(NOT(ISERROR(SUM(E19,G19,I19,K19))),SUM(E19,G19,I19,K19),IF(NOT(ISERROR(SUM(E19,G19,I19))),SUM(E19,G19,I19),IF(NOT(ISERROR(SUM(E19,G19))),SUM(E19,G19),E19))))</f>
        <v>0</v>
      </c>
      <c r="P19" s="166">
        <f t="shared" si="5"/>
        <v>0</v>
      </c>
      <c r="Q19" s="148"/>
      <c r="R19" s="111" t="str">
        <f>IF(AA13&lt;&gt;"Select",VLOOKUP(AA13,'Input Tables'!C3:L21,9,FALSE),"")</f>
        <v/>
      </c>
      <c r="T19" s="31" t="s">
        <v>273</v>
      </c>
      <c r="U19" s="33" t="s">
        <v>154</v>
      </c>
      <c r="V19" s="21"/>
      <c r="Y19" s="109" t="s">
        <v>195</v>
      </c>
      <c r="Z19" s="108">
        <v>212100</v>
      </c>
    </row>
    <row r="20" spans="1:29" ht="15" customHeight="1" outlineLevel="1" x14ac:dyDescent="0.25">
      <c r="A20" s="12"/>
      <c r="B20" s="71"/>
      <c r="D20" s="67" t="s">
        <v>135</v>
      </c>
      <c r="E20" s="70">
        <f>IF(AA13&lt;&gt;"Select",E19*(VLOOKUP(AA13,'Input Tables'!C3:H21,2,FALSE)),0)</f>
        <v>0</v>
      </c>
      <c r="F20" s="160">
        <v>0</v>
      </c>
      <c r="G20" s="70">
        <f>IF(AA13&lt;&gt;"Select",G19*(VLOOKUP(AA13,'Input Tables'!C3:H21,3,FALSE)),0)</f>
        <v>0</v>
      </c>
      <c r="H20" s="160">
        <v>0</v>
      </c>
      <c r="I20" s="70">
        <f>IF(AA13&lt;&gt;"Select",I19*(VLOOKUP(AA13,'Input Tables'!C3:H21,4,FALSE)),0)</f>
        <v>0</v>
      </c>
      <c r="J20" s="160">
        <v>0</v>
      </c>
      <c r="K20" s="70">
        <f>IF(AA13&lt;&gt;"Select",K19*(VLOOKUP(AA13,'Input Tables'!C3:H21,5,FALSE)),0)</f>
        <v>0</v>
      </c>
      <c r="L20" s="160">
        <v>0</v>
      </c>
      <c r="M20" s="70">
        <f>IF(AA13&lt;&gt;"Select",M19*(VLOOKUP(AA13,'Input Tables'!C3:H21,6,FALSE)),0)</f>
        <v>0</v>
      </c>
      <c r="N20" s="160">
        <v>0</v>
      </c>
      <c r="O20" s="13">
        <f t="shared" si="5"/>
        <v>0</v>
      </c>
      <c r="P20" s="166">
        <f t="shared" si="5"/>
        <v>0</v>
      </c>
      <c r="Q20" s="151" t="str">
        <f>IF(ISBLANK(Q19),"",Q19)</f>
        <v/>
      </c>
      <c r="R20" s="111" t="str">
        <f>IF(AA13&lt;&gt;"Select",VLOOKUP(AA13,'Input Tables'!C3:L21,10,FALSE),"")</f>
        <v/>
      </c>
      <c r="T20" s="31" t="s">
        <v>310</v>
      </c>
      <c r="U20" s="33" t="s">
        <v>153</v>
      </c>
      <c r="Y20" s="109" t="s">
        <v>272</v>
      </c>
      <c r="AA20" s="21"/>
      <c r="AB20" s="15"/>
      <c r="AC20" s="15"/>
    </row>
    <row r="21" spans="1:29" outlineLevel="1" x14ac:dyDescent="0.25">
      <c r="A21" s="68"/>
      <c r="B21" s="71" t="s">
        <v>25</v>
      </c>
      <c r="C21" s="8" t="str">
        <f>T14</f>
        <v>Postdoc</v>
      </c>
      <c r="D21" s="8" t="str">
        <f>IF(NOT(ISBLANK(W14)),CONCATENATE(ROUND(W14,2)," research days"),IF(NOT(ISBLANK(X14)),CONCATENATE(ROUND(X14,2)," months"),IF(NOT(ISBLANK(Y14)),CONCATENATE(ROUND(Y14*100,2)," % AY"),"")))</f>
        <v/>
      </c>
      <c r="E21" s="70">
        <f>(IF(ISNUMBER(SEARCH("Academic",AA14)),(V14*W14*0.00541+V14*X14*22*0.00541),(V14*W14*0.00385)+(V14/12*X14))+(V14*Y14))</f>
        <v>0</v>
      </c>
      <c r="F21" s="160">
        <v>0</v>
      </c>
      <c r="G21" s="70">
        <f>(1+'Input Tables'!$I$43)*E21</f>
        <v>0</v>
      </c>
      <c r="H21" s="160">
        <v>0</v>
      </c>
      <c r="I21" s="70">
        <f>(1+'Input Tables'!$I$43)*G21</f>
        <v>0</v>
      </c>
      <c r="J21" s="160">
        <v>0</v>
      </c>
      <c r="K21" s="70">
        <f>(1+'Input Tables'!$I$43)*I21</f>
        <v>0</v>
      </c>
      <c r="L21" s="160">
        <v>0</v>
      </c>
      <c r="M21" s="70">
        <f>(1+'Input Tables'!$I$43)*K21</f>
        <v>0</v>
      </c>
      <c r="N21" s="160">
        <v>0</v>
      </c>
      <c r="O21" s="13">
        <f t="shared" si="5"/>
        <v>0</v>
      </c>
      <c r="P21" s="166">
        <f t="shared" si="5"/>
        <v>0</v>
      </c>
      <c r="Q21" s="148"/>
      <c r="R21" s="111" t="str">
        <f>IF(AA14&lt;&gt;"Select",VLOOKUP(AA14,'Input Tables'!C3:L21,9,FALSE),"")</f>
        <v/>
      </c>
      <c r="T21" s="10"/>
    </row>
    <row r="22" spans="1:29" outlineLevel="1" x14ac:dyDescent="0.25">
      <c r="A22" s="12"/>
      <c r="B22" s="71"/>
      <c r="D22" s="67" t="s">
        <v>135</v>
      </c>
      <c r="E22" s="70">
        <f>IF(AA14&lt;&gt;"Select",E21*(VLOOKUP(AA14,'Input Tables'!C3:H21,2,FALSE)),0)</f>
        <v>0</v>
      </c>
      <c r="F22" s="160">
        <v>0</v>
      </c>
      <c r="G22" s="70">
        <f>IF(AA14&lt;&gt;"Select",G21*(VLOOKUP(AA14,'Input Tables'!C3:H21,3,FALSE)),0)</f>
        <v>0</v>
      </c>
      <c r="H22" s="160">
        <v>0</v>
      </c>
      <c r="I22" s="70">
        <f>IF(AA14&lt;&gt;"Select",I21*(VLOOKUP(AA14,'Input Tables'!C3:H21,4,FALSE)),0)</f>
        <v>0</v>
      </c>
      <c r="J22" s="160">
        <v>0</v>
      </c>
      <c r="K22" s="70">
        <f>IF(AA14&lt;&gt;"Select",K21*(VLOOKUP(AA14,'Input Tables'!C3:H21,5,FALSE)),0)</f>
        <v>0</v>
      </c>
      <c r="L22" s="160">
        <v>0</v>
      </c>
      <c r="M22" s="70">
        <f>IF(AA14&lt;&gt;"Select",M21*(VLOOKUP(AA14,'Input Tables'!C3:H21,6,FALSE)),0)</f>
        <v>0</v>
      </c>
      <c r="N22" s="160">
        <v>0</v>
      </c>
      <c r="O22" s="13">
        <f t="shared" si="5"/>
        <v>0</v>
      </c>
      <c r="P22" s="166">
        <f t="shared" si="5"/>
        <v>0</v>
      </c>
      <c r="Q22" s="151" t="str">
        <f>IF(ISBLANK(Q21),"",Q21)</f>
        <v/>
      </c>
      <c r="R22" s="111" t="str">
        <f>IF(AA14&lt;&gt;"Select",VLOOKUP(AA14,'Input Tables'!C3:L21,10,FALSE),"")</f>
        <v/>
      </c>
      <c r="T22" s="10"/>
      <c r="U22" s="130" t="s">
        <v>201</v>
      </c>
      <c r="V22" s="131" t="s">
        <v>0</v>
      </c>
      <c r="W22" s="141" t="s">
        <v>1</v>
      </c>
      <c r="X22" s="141" t="s">
        <v>2</v>
      </c>
      <c r="Y22" s="141" t="s">
        <v>20</v>
      </c>
      <c r="Z22" s="132" t="s">
        <v>21</v>
      </c>
      <c r="AA22" s="40"/>
      <c r="AB22" s="10"/>
    </row>
    <row r="23" spans="1:29" outlineLevel="1" x14ac:dyDescent="0.25">
      <c r="A23" s="12"/>
      <c r="B23" s="71" t="s">
        <v>26</v>
      </c>
      <c r="C23" s="8" t="str">
        <f>T15</f>
        <v>Graduate Res Asst</v>
      </c>
      <c r="D23" s="8" t="str">
        <f>IF(U15="N/A","",IF(U15="Hourly",CONCATENATE(V15,"/hr"),IF(ISNUMBER(Z15),(CONCATENATE(ROUND(Z15,2)," students")),"")))</f>
        <v/>
      </c>
      <c r="E23" s="70">
        <f>(IF(U15&lt;&gt;"N/A",V15*IF(ISNUMBER(Z15),Z15,0),0))</f>
        <v>0</v>
      </c>
      <c r="F23" s="160">
        <v>0</v>
      </c>
      <c r="G23" s="70">
        <f>IF(ISNUMBER($Z15),IF($U15="hourly",$E23,$Z15*'Input Tables'!$B$47),0)</f>
        <v>0</v>
      </c>
      <c r="H23" s="160">
        <v>0</v>
      </c>
      <c r="I23" s="70">
        <f>IF(ISNUMBER($Z15),IF($U$15="hourly",$E23,$Z15*'Input Tables'!$B$48),0)</f>
        <v>0</v>
      </c>
      <c r="J23" s="160">
        <v>0</v>
      </c>
      <c r="K23" s="70">
        <f>IF($U$15="hourly",$E$23,I23*(1+'Input Tables'!$I$43))</f>
        <v>0</v>
      </c>
      <c r="L23" s="160">
        <v>0</v>
      </c>
      <c r="M23" s="70">
        <f>IF($U$15="hourly",$E$23,K23*(1+'Input Tables'!$I$43))</f>
        <v>0</v>
      </c>
      <c r="N23" s="160">
        <v>0</v>
      </c>
      <c r="O23" s="13">
        <f t="shared" si="5"/>
        <v>0</v>
      </c>
      <c r="P23" s="166">
        <f t="shared" si="5"/>
        <v>0</v>
      </c>
      <c r="Q23" s="148"/>
      <c r="R23" s="111">
        <f>IF(AA15&lt;&gt;"Select",VLOOKUP(AA15,'Input Tables'!C3:L21,9,FALSE),"")</f>
        <v>5214</v>
      </c>
      <c r="T23" s="10"/>
      <c r="U23" s="127" t="str">
        <f>IF(ISBLANK(U8),"",U8)</f>
        <v>PI Name</v>
      </c>
      <c r="V23" s="136"/>
      <c r="W23" s="140"/>
      <c r="X23" s="140"/>
      <c r="Y23" s="140"/>
      <c r="Z23" s="138"/>
      <c r="AA23" s="41"/>
    </row>
    <row r="24" spans="1:29" outlineLevel="1" x14ac:dyDescent="0.25">
      <c r="A24" s="12"/>
      <c r="D24" s="67" t="str">
        <f>IF(U15="N/A","",IF(U15="hourly","","Tuition"))</f>
        <v>Tuition</v>
      </c>
      <c r="E24" s="154" t="str">
        <f>IF(U15&lt;&gt;"n/a",IF(U15&lt;&gt;"Hourly",IF(ISNUMBER(Z15),IF($U$19="No",Z15*VLOOKUP(AA15,'Input Tables'!C3:H21,2,FALSE),Z15*VLOOKUP(AA15,'Input Tables'!C3:H21,3,FALSE)),"0"),"0"),"0")</f>
        <v>0</v>
      </c>
      <c r="F24" s="160">
        <v>0</v>
      </c>
      <c r="G24" s="154" t="str">
        <f>IF(ISNUMBER(E24),E24*(1+'Input Tables'!$I$18),"0")</f>
        <v>0</v>
      </c>
      <c r="H24" s="160">
        <v>0</v>
      </c>
      <c r="I24" s="154" t="str">
        <f>IF(ISNUMBER(G24),G24*(1+'Input Tables'!$I$18),"0")</f>
        <v>0</v>
      </c>
      <c r="J24" s="160">
        <v>0</v>
      </c>
      <c r="K24" s="154" t="str">
        <f>IF(ISNUMBER(I24),I24*(1+'Input Tables'!$I$18),"0")</f>
        <v>0</v>
      </c>
      <c r="L24" s="160">
        <v>0</v>
      </c>
      <c r="M24" s="154" t="str">
        <f>IF(ISNUMBER(K24),K24*(1+'Input Tables'!$I$18),"0")</f>
        <v>0</v>
      </c>
      <c r="N24" s="160">
        <v>0</v>
      </c>
      <c r="O24" s="13">
        <f t="shared" si="5"/>
        <v>0</v>
      </c>
      <c r="P24" s="166">
        <f t="shared" si="5"/>
        <v>0</v>
      </c>
      <c r="Q24" s="151" t="str">
        <f>IF(ISBLANK(Q23),"",Q23)</f>
        <v/>
      </c>
      <c r="R24" s="111">
        <f>IF(AA15&lt;&gt;"Select",VLOOKUP(AA15,'Input Tables'!C3:L21,10,FALSE),"")</f>
        <v>5118</v>
      </c>
      <c r="T24" s="10"/>
      <c r="U24" s="127" t="str">
        <f>IF(ISBLANK(U9),"",U9)</f>
        <v>Co-PI Name #1</v>
      </c>
      <c r="V24" s="136"/>
      <c r="W24" s="134"/>
      <c r="X24" s="136"/>
      <c r="Y24" s="134"/>
      <c r="Z24" s="138"/>
      <c r="AA24" s="40"/>
    </row>
    <row r="25" spans="1:29" outlineLevel="1" x14ac:dyDescent="0.25">
      <c r="A25" s="12"/>
      <c r="B25" s="71" t="s">
        <v>133</v>
      </c>
      <c r="C25" s="8" t="str">
        <f>T16</f>
        <v>Graduate Res Asst</v>
      </c>
      <c r="D25" s="8" t="str">
        <f>IF(U16="N/A","",IF(U16="Hourly",CONCATENATE(V16,"/hr"),IF(ISNUMBER(Z16),(CONCATENATE(ROUND(Z16,2)," students")),"")))</f>
        <v/>
      </c>
      <c r="E25" s="70">
        <f>(IF(U16&lt;&gt;"N/A",V16*IF(ISNUMBER(Z16),Z16,0),0))</f>
        <v>0</v>
      </c>
      <c r="F25" s="160">
        <v>0</v>
      </c>
      <c r="G25" s="70">
        <f>IF(ISNUMBER($Z16),IF($U16="hourly",$E25,$Z16*'Input Tables'!$B$47),0)</f>
        <v>0</v>
      </c>
      <c r="H25" s="160">
        <v>0</v>
      </c>
      <c r="I25" s="70">
        <f>IF(ISNUMBER($Z16),IF($U16="hourly",$E25,$Z16*'Input Tables'!$B$48),0)</f>
        <v>0</v>
      </c>
      <c r="J25" s="160">
        <v>0</v>
      </c>
      <c r="K25" s="70">
        <f>IF($U$16="hourly",$E$25,I25*(1+'Input Tables'!$I$43))</f>
        <v>0</v>
      </c>
      <c r="L25" s="160">
        <v>0</v>
      </c>
      <c r="M25" s="70">
        <f>IF($U$16="hourly",$E$25,K25*(1+'Input Tables'!$I$43))</f>
        <v>0</v>
      </c>
      <c r="N25" s="160">
        <v>0</v>
      </c>
      <c r="O25" s="13">
        <f t="shared" si="5"/>
        <v>0</v>
      </c>
      <c r="P25" s="166">
        <f t="shared" si="5"/>
        <v>0</v>
      </c>
      <c r="Q25" s="148"/>
      <c r="R25" s="111">
        <f>IF(AA16&lt;&gt;"Select",VLOOKUP(AA16,'Input Tables'!C3:L21,9,FALSE),"")</f>
        <v>5214</v>
      </c>
      <c r="T25" s="40"/>
      <c r="U25" s="127" t="str">
        <f>IF(ISBLANK(U10),"",U10)</f>
        <v>Co-PI Name #2</v>
      </c>
      <c r="V25" s="136"/>
      <c r="W25" s="137"/>
      <c r="X25" s="136"/>
      <c r="Y25" s="136"/>
      <c r="Z25" s="138"/>
      <c r="AA25" s="40"/>
    </row>
    <row r="26" spans="1:29" outlineLevel="1" x14ac:dyDescent="0.25">
      <c r="A26" s="12"/>
      <c r="B26" s="71"/>
      <c r="C26" s="67"/>
      <c r="D26" s="67" t="str">
        <f>IF(U16="N/A","",IF(U16="hourly","","Tuition"))</f>
        <v/>
      </c>
      <c r="E26" s="154" t="str">
        <f>IF(U16&lt;&gt;"n/a",IF(U16&lt;&gt;"Hourly",IF(ISNUMBER(Z16),IF($U$19="No",Z16*VLOOKUP(AA16,'Input Tables'!C3:H21,2,FALSE),Z16*VLOOKUP(AA16,'Input Tables'!C3:H21,3,FALSE)),"0"),"0"),"0")</f>
        <v>0</v>
      </c>
      <c r="F26" s="160">
        <v>0</v>
      </c>
      <c r="G26" s="154" t="str">
        <f>IF(ISNUMBER(E26),E26*(1+'Input Tables'!$I$18),"0")</f>
        <v>0</v>
      </c>
      <c r="H26" s="160">
        <v>0</v>
      </c>
      <c r="I26" s="154" t="str">
        <f>IF(ISNUMBER(G26),G26*(1+'Input Tables'!$I$18),"0")</f>
        <v>0</v>
      </c>
      <c r="J26" s="160">
        <v>0</v>
      </c>
      <c r="K26" s="154" t="str">
        <f>IF(ISNUMBER(I26),I26*(1+'Input Tables'!$I$18),"0")</f>
        <v>0</v>
      </c>
      <c r="L26" s="160">
        <v>0</v>
      </c>
      <c r="M26" s="154" t="str">
        <f>IF(ISNUMBER(K26),K26*(1+'Input Tables'!$I$18),"0")</f>
        <v>0</v>
      </c>
      <c r="N26" s="160">
        <v>0</v>
      </c>
      <c r="O26" s="13">
        <f t="shared" ref="O26:O28" si="6">IF(NOT(ISERROR(SUM(E26,G26,I26,K26,M26))),SUM(E26,G26,I26,K26,M26),IF(NOT(ISERROR(SUM(E26,G26,I26,K26))),SUM(E26,G26,I26,K26),IF(NOT(ISERROR(SUM(E26,G26,I26))),SUM(E26,G26,I26),IF(NOT(ISERROR(SUM(E26,G26))),SUM(E26,G26),E26))))</f>
        <v>0</v>
      </c>
      <c r="P26" s="166">
        <f>IF(NOT(ISERROR(SUM(F26,H26,J26,L26,N26))),SUM(F26,H26,J26,L26,N26),IF(NOT(ISERROR(SUM(F26,H26,J26,L26))),SUM(F26,H26,J26,L26),IF(NOT(ISERROR(SUM(F26,H26,J26))),SUM(F26,H26,J26),IF(NOT(ISERROR(SUM(F26,H26))),SUM(F26,H26),F26))))</f>
        <v>0</v>
      </c>
      <c r="Q26" s="151"/>
      <c r="R26" s="111"/>
      <c r="S26" s="25"/>
      <c r="T26" s="43"/>
      <c r="U26" s="127" t="str">
        <f>IF(ISBLANK(U11),"",U11)</f>
        <v>Co-PI Name #3</v>
      </c>
      <c r="V26" s="136"/>
      <c r="W26" s="137"/>
      <c r="X26" s="136"/>
      <c r="Y26" s="136"/>
      <c r="Z26" s="138"/>
      <c r="AA26" s="40"/>
      <c r="AB26" s="25"/>
    </row>
    <row r="27" spans="1:29" outlineLevel="1" x14ac:dyDescent="0.25">
      <c r="A27" s="12"/>
      <c r="B27" s="71" t="s">
        <v>134</v>
      </c>
      <c r="C27" s="8" t="str">
        <f>T17</f>
        <v>Undergrad Res Asst</v>
      </c>
      <c r="D27" s="8" t="str">
        <f>IF(U17="N/A","",IF(U17="Hourly",CONCATENATE(V17,"/hr"),IF(ISNUMBER(Z17),(CONCATENATE(ROUND(Z17,2)," students")),"")))</f>
        <v>13.65/hr</v>
      </c>
      <c r="E27" s="70">
        <f>(IF(U17&lt;&gt;"N/A",V17*IF(ISNUMBER(Z17),Z17,0),0))</f>
        <v>0</v>
      </c>
      <c r="F27" s="160">
        <v>0</v>
      </c>
      <c r="G27" s="70">
        <f>IF(ISNUMBER($Z17),IF($U17="hourly",$E27,$Z17*'Input Tables'!$B$47),0)</f>
        <v>0</v>
      </c>
      <c r="H27" s="160">
        <v>0</v>
      </c>
      <c r="I27" s="70">
        <f>IF(ISNUMBER($Z17),IF($U17="hourly",$E27,$Z17*'Input Tables'!$B$48),0)</f>
        <v>0</v>
      </c>
      <c r="J27" s="160">
        <v>0</v>
      </c>
      <c r="K27" s="70">
        <f>IF($U$17="hourly",$E$27,I27*(1+'Input Tables'!$I$43))</f>
        <v>0</v>
      </c>
      <c r="L27" s="160">
        <v>0</v>
      </c>
      <c r="M27" s="70">
        <f>IF($U$17="hourly",$E$27,K27*(1+'Input Tables'!$I$43))</f>
        <v>0</v>
      </c>
      <c r="N27" s="160">
        <v>0</v>
      </c>
      <c r="O27" s="13">
        <f t="shared" si="6"/>
        <v>0</v>
      </c>
      <c r="P27" s="166">
        <f>IF(NOT(ISERROR(SUM(F27,H27,J27,L27,N27))),SUM(F27,H27,J27,L27,N27),IF(NOT(ISERROR(SUM(F27,H27,J27,L27))),SUM(F27,H27,J27,L27),IF(NOT(ISERROR(SUM(F27,H27,J27))),SUM(F27,H27,J27),IF(NOT(ISERROR(SUM(F27,H27))),SUM(F27,H27),F27))))</f>
        <v>0</v>
      </c>
      <c r="Q27" s="148"/>
      <c r="R27" s="111">
        <f>IF(AA17&lt;&gt;"Select",VLOOKUP(AA17,'Input Tables'!C3:L21,9,FALSE),"")</f>
        <v>5218</v>
      </c>
      <c r="S27" s="25"/>
      <c r="T27" s="43"/>
      <c r="U27" s="128" t="str">
        <f>IF(ISBLANK(U12),"",U12)</f>
        <v>Co-PI Name #4</v>
      </c>
      <c r="V27" s="139"/>
      <c r="W27" s="139"/>
      <c r="X27" s="135"/>
      <c r="Y27" s="135"/>
      <c r="Z27" s="129"/>
      <c r="AA27" s="43"/>
      <c r="AB27" s="25"/>
    </row>
    <row r="28" spans="1:29" outlineLevel="1" x14ac:dyDescent="0.25">
      <c r="A28" s="72"/>
      <c r="B28" s="73"/>
      <c r="C28" s="67"/>
      <c r="D28" s="67" t="str">
        <f>IF(U17="N/A","",IF(U17="hourly","","Tuition"))</f>
        <v/>
      </c>
      <c r="E28" s="195" t="str">
        <f>IF(U17&lt;&gt;"n/a",IF(U17&lt;&gt;"Hourly",IF(ISNUMBER(Z17),IF($U$19="No",Z17*VLOOKUP(AA17,'Input Tables'!C3:H21,2,FALSE),Z17*VLOOKUP(AA17,'Input Tables'!C3:H21,3,FALSE)),"0"),"0"),"0")</f>
        <v>0</v>
      </c>
      <c r="F28" s="160">
        <v>0</v>
      </c>
      <c r="G28" s="154" t="str">
        <f>IF(ISNUMBER(E28),E28*(1+'Input Tables'!$I$18),"0")</f>
        <v>0</v>
      </c>
      <c r="H28" s="160">
        <v>0</v>
      </c>
      <c r="I28" s="154" t="str">
        <f>IF(ISNUMBER(G28),G28*(1+'Input Tables'!$I$18),"0")</f>
        <v>0</v>
      </c>
      <c r="J28" s="160">
        <v>0</v>
      </c>
      <c r="K28" s="154" t="str">
        <f>IF(ISNUMBER(I28),I28*(1+'Input Tables'!$I$18),"0")</f>
        <v>0</v>
      </c>
      <c r="L28" s="160">
        <v>0</v>
      </c>
      <c r="M28" s="154" t="str">
        <f>IF(ISNUMBER(K28),K28*(1+'Input Tables'!$I$18),"0")</f>
        <v>0</v>
      </c>
      <c r="N28" s="160">
        <v>0</v>
      </c>
      <c r="O28" s="13">
        <f t="shared" si="6"/>
        <v>0</v>
      </c>
      <c r="P28" s="166">
        <f>IF(NOT(ISERROR(SUM(F28,H28,J28,L28,N28))),SUM(F28,H28,J28,L28,N28),IF(NOT(ISERROR(SUM(F28,H28,J28,L28))),SUM(F28,H28,J28,L28),IF(NOT(ISERROR(SUM(F28,H28,J28))),SUM(F28,H28,J28),IF(NOT(ISERROR(SUM(F28,H28))),SUM(F28,H28),F28))))</f>
        <v>0</v>
      </c>
      <c r="Q28" s="151"/>
      <c r="R28" s="113"/>
      <c r="S28" s="25"/>
      <c r="T28" s="43"/>
      <c r="U28" s="43"/>
      <c r="V28" s="43"/>
      <c r="W28" s="43"/>
      <c r="X28" s="43"/>
      <c r="Y28" s="43"/>
      <c r="Z28" s="43"/>
      <c r="AA28" s="43"/>
      <c r="AB28" s="25"/>
    </row>
    <row r="29" spans="1:29" s="24" customFormat="1" x14ac:dyDescent="0.25">
      <c r="A29" s="74"/>
      <c r="B29" s="75"/>
      <c r="C29" s="89" t="s">
        <v>186</v>
      </c>
      <c r="D29" s="22"/>
      <c r="E29" s="18">
        <f>SUM(E19,E21,E23,E25,E27)</f>
        <v>0</v>
      </c>
      <c r="F29" s="177">
        <f t="shared" ref="F29:N29" si="7">SUM(F19,F21,F23,F25,F27)</f>
        <v>0</v>
      </c>
      <c r="G29" s="18">
        <f t="shared" si="7"/>
        <v>0</v>
      </c>
      <c r="H29" s="177">
        <f t="shared" si="7"/>
        <v>0</v>
      </c>
      <c r="I29" s="18">
        <f t="shared" si="7"/>
        <v>0</v>
      </c>
      <c r="J29" s="177">
        <f t="shared" si="7"/>
        <v>0</v>
      </c>
      <c r="K29" s="18">
        <f t="shared" si="7"/>
        <v>0</v>
      </c>
      <c r="L29" s="177">
        <f t="shared" si="7"/>
        <v>0</v>
      </c>
      <c r="M29" s="18">
        <f t="shared" si="7"/>
        <v>0</v>
      </c>
      <c r="N29" s="177">
        <f t="shared" si="7"/>
        <v>0</v>
      </c>
      <c r="O29" s="17">
        <f>IF(NOT(ISERROR(SUM(E29,G29,I29,K29,M29))),SUM(E29,G29,I29,K29,M29),IF(NOT(ISERROR(SUM(E29,G29,I29,K29))),SUM(E29,G29,I29,K29),IF(NOT(ISERROR(SUM(E29,G29,I29))),SUM(E29,G29,I29),IF(NOT(ISERROR(SUM(E29,G29))),SUM(E29,G29),E29))))</f>
        <v>0</v>
      </c>
      <c r="P29" s="178">
        <f>IF(NOT(ISERROR(SUM(F29,H29,J29,L29,N29))),SUM(F29,H29,J29,L29,N29),IF(NOT(ISERROR(SUM(F29,H29,J29,L29))),SUM(F29,H29,J29,L29),IF(NOT(ISERROR(SUM(F29,H29,J29))),SUM(F29,H29,J29),IF(NOT(ISERROR(SUM(F29,H29))),SUM(F29,H29),F29))))</f>
        <v>0</v>
      </c>
      <c r="Q29" s="150"/>
      <c r="R29" s="112"/>
      <c r="S29" s="44"/>
      <c r="T29" s="45"/>
      <c r="AA29" s="45"/>
      <c r="AB29" s="44"/>
      <c r="AC29" s="23"/>
    </row>
    <row r="30" spans="1:29" x14ac:dyDescent="0.25">
      <c r="A30" s="74"/>
      <c r="B30" s="75"/>
      <c r="C30" s="89" t="s">
        <v>187</v>
      </c>
      <c r="D30" s="22"/>
      <c r="E30" s="18">
        <f>SUM(E20,E22,E24,E26,E28)</f>
        <v>0</v>
      </c>
      <c r="F30" s="177">
        <f t="shared" ref="F30:N30" si="8">SUM(F20,F22,F24,F26,F28)</f>
        <v>0</v>
      </c>
      <c r="G30" s="18">
        <f t="shared" si="8"/>
        <v>0</v>
      </c>
      <c r="H30" s="177">
        <f t="shared" si="8"/>
        <v>0</v>
      </c>
      <c r="I30" s="18">
        <f t="shared" si="8"/>
        <v>0</v>
      </c>
      <c r="J30" s="177">
        <f t="shared" si="8"/>
        <v>0</v>
      </c>
      <c r="K30" s="18">
        <f t="shared" si="8"/>
        <v>0</v>
      </c>
      <c r="L30" s="177">
        <f t="shared" si="8"/>
        <v>0</v>
      </c>
      <c r="M30" s="18">
        <f t="shared" si="8"/>
        <v>0</v>
      </c>
      <c r="N30" s="177">
        <f t="shared" si="8"/>
        <v>0</v>
      </c>
      <c r="O30" s="17">
        <f>IF(NOT(ISERROR(SUM(E30,G30,I30,K30,M30))),SUM(E30,G30,I30,K30,M30),IF(NOT(ISERROR(SUM(E30,G30,I30,K30))),SUM(E30,G30,I30,K30),IF(NOT(ISERROR(SUM(E30,G30,I30))),SUM(E30,G30,I30),IF(NOT(ISERROR(SUM(E30,G30))),SUM(E30,G30),E30))))</f>
        <v>0</v>
      </c>
      <c r="P30" s="178">
        <f>IF(NOT(ISERROR(SUM(F30,H30,J30,L30,N30))),SUM(F30,H30,J30,L30,N30),IF(NOT(ISERROR(SUM(F30,H30,J30,L30))),SUM(F30,H30,J30,L30),IF(NOT(ISERROR(SUM(F30,H30,J30))),SUM(F30,H30,J30),IF(NOT(ISERROR(SUM(F30,H30))),SUM(F30,H30),F30))))</f>
        <v>0</v>
      </c>
      <c r="Q30" s="150"/>
      <c r="R30" s="112"/>
      <c r="S30" s="25"/>
      <c r="T30" s="43"/>
      <c r="U30" s="43"/>
      <c r="V30" s="43"/>
      <c r="W30" s="43"/>
      <c r="X30" s="43"/>
      <c r="Y30" s="43"/>
      <c r="Z30" s="43"/>
      <c r="AA30" s="43"/>
      <c r="AB30" s="25"/>
    </row>
    <row r="31" spans="1:29" x14ac:dyDescent="0.25">
      <c r="A31" s="12"/>
      <c r="B31" s="8"/>
      <c r="C31" s="8"/>
      <c r="D31" s="8"/>
      <c r="E31" s="8"/>
      <c r="F31" s="160"/>
      <c r="G31" s="8"/>
      <c r="H31" s="160"/>
      <c r="I31" s="8"/>
      <c r="J31" s="160"/>
      <c r="K31" s="8"/>
      <c r="L31" s="160"/>
      <c r="M31" s="8"/>
      <c r="N31" s="160"/>
      <c r="O31" s="13"/>
      <c r="P31" s="166"/>
      <c r="Q31" s="151"/>
      <c r="R31" s="86"/>
      <c r="S31" s="25"/>
      <c r="T31" s="25"/>
      <c r="V31" s="25"/>
      <c r="W31" s="47"/>
      <c r="X31" s="25"/>
      <c r="Y31" s="25"/>
      <c r="Z31" s="25"/>
      <c r="AA31" s="25"/>
      <c r="AB31" s="25"/>
    </row>
    <row r="32" spans="1:29" x14ac:dyDescent="0.25">
      <c r="A32" s="12"/>
      <c r="B32" s="8" t="s">
        <v>125</v>
      </c>
      <c r="C32" s="8"/>
      <c r="D32" s="8"/>
      <c r="E32" s="8"/>
      <c r="F32" s="160"/>
      <c r="G32" s="8"/>
      <c r="H32" s="160"/>
      <c r="I32" s="8"/>
      <c r="J32" s="160"/>
      <c r="K32" s="8"/>
      <c r="L32" s="160"/>
      <c r="M32" s="8"/>
      <c r="N32" s="160"/>
      <c r="O32" s="13"/>
      <c r="P32" s="166"/>
      <c r="Q32" s="151"/>
      <c r="R32" s="86"/>
      <c r="S32" s="25"/>
      <c r="V32" s="25"/>
      <c r="X32" s="25"/>
      <c r="Y32" s="25"/>
      <c r="Z32" s="25"/>
      <c r="AA32" s="25"/>
      <c r="AB32" s="25"/>
    </row>
    <row r="33" spans="1:28" x14ac:dyDescent="0.25">
      <c r="A33" s="74"/>
      <c r="B33" s="75"/>
      <c r="C33" s="22" t="s">
        <v>178</v>
      </c>
      <c r="D33" s="22"/>
      <c r="E33" s="18">
        <f t="shared" ref="E33:N34" si="9">SUM(E15,E29)</f>
        <v>0</v>
      </c>
      <c r="F33" s="177">
        <f t="shared" si="9"/>
        <v>0</v>
      </c>
      <c r="G33" s="18">
        <f t="shared" si="9"/>
        <v>0</v>
      </c>
      <c r="H33" s="177">
        <f t="shared" si="9"/>
        <v>0</v>
      </c>
      <c r="I33" s="18">
        <f t="shared" si="9"/>
        <v>0</v>
      </c>
      <c r="J33" s="177">
        <f t="shared" si="9"/>
        <v>0</v>
      </c>
      <c r="K33" s="18">
        <f t="shared" si="9"/>
        <v>0</v>
      </c>
      <c r="L33" s="177">
        <f t="shared" si="9"/>
        <v>0</v>
      </c>
      <c r="M33" s="18">
        <f t="shared" si="9"/>
        <v>0</v>
      </c>
      <c r="N33" s="177">
        <f t="shared" si="9"/>
        <v>0</v>
      </c>
      <c r="O33" s="17">
        <f t="shared" ref="O33:P35" si="10">IF(NOT(ISERROR(SUM(E33,G33,I33,K33,M33))),SUM(E33,G33,I33,K33,M33),IF(NOT(ISERROR(SUM(E33,G33,I33,K33))),SUM(E33,G33,I33,K33),IF(NOT(ISERROR(SUM(E33,G33,I33))),SUM(E33,G33,I33),IF(NOT(ISERROR(SUM(E33,G33))),SUM(E33,G33),E33))))</f>
        <v>0</v>
      </c>
      <c r="P33" s="178">
        <f t="shared" si="10"/>
        <v>0</v>
      </c>
      <c r="Q33" s="150"/>
      <c r="R33" s="112"/>
      <c r="S33" s="25"/>
      <c r="X33" s="25"/>
      <c r="Y33" s="25"/>
      <c r="Z33" s="25"/>
      <c r="AA33" s="25"/>
      <c r="AB33" s="25"/>
    </row>
    <row r="34" spans="1:28" x14ac:dyDescent="0.25">
      <c r="A34" s="74"/>
      <c r="B34" s="75"/>
      <c r="C34" s="22" t="s">
        <v>179</v>
      </c>
      <c r="D34" s="22"/>
      <c r="E34" s="18">
        <f t="shared" si="9"/>
        <v>0</v>
      </c>
      <c r="F34" s="177">
        <f t="shared" si="9"/>
        <v>0</v>
      </c>
      <c r="G34" s="18">
        <f t="shared" si="9"/>
        <v>0</v>
      </c>
      <c r="H34" s="177">
        <f t="shared" si="9"/>
        <v>0</v>
      </c>
      <c r="I34" s="18">
        <f t="shared" si="9"/>
        <v>0</v>
      </c>
      <c r="J34" s="177">
        <f t="shared" si="9"/>
        <v>0</v>
      </c>
      <c r="K34" s="18">
        <f t="shared" si="9"/>
        <v>0</v>
      </c>
      <c r="L34" s="177">
        <f t="shared" si="9"/>
        <v>0</v>
      </c>
      <c r="M34" s="18">
        <f t="shared" si="9"/>
        <v>0</v>
      </c>
      <c r="N34" s="177">
        <f t="shared" si="9"/>
        <v>0</v>
      </c>
      <c r="O34" s="17">
        <f t="shared" si="10"/>
        <v>0</v>
      </c>
      <c r="P34" s="178">
        <f t="shared" si="10"/>
        <v>0</v>
      </c>
      <c r="Q34" s="150"/>
      <c r="R34" s="112"/>
      <c r="S34" s="25"/>
      <c r="U34" s="46" t="s">
        <v>315</v>
      </c>
      <c r="X34" s="25"/>
      <c r="Y34" s="25"/>
      <c r="Z34" s="25"/>
      <c r="AA34" s="25"/>
      <c r="AB34" s="25"/>
    </row>
    <row r="35" spans="1:28" x14ac:dyDescent="0.25">
      <c r="A35" s="74"/>
      <c r="B35" s="75"/>
      <c r="C35" s="22" t="s">
        <v>180</v>
      </c>
      <c r="D35" s="22"/>
      <c r="E35" s="18">
        <f>SUM(E33:E34)</f>
        <v>0</v>
      </c>
      <c r="F35" s="177">
        <f t="shared" ref="F35:N35" si="11">SUM(F33:F34)</f>
        <v>0</v>
      </c>
      <c r="G35" s="18">
        <f t="shared" si="11"/>
        <v>0</v>
      </c>
      <c r="H35" s="177">
        <f t="shared" si="11"/>
        <v>0</v>
      </c>
      <c r="I35" s="18">
        <f t="shared" si="11"/>
        <v>0</v>
      </c>
      <c r="J35" s="177">
        <f t="shared" si="11"/>
        <v>0</v>
      </c>
      <c r="K35" s="18">
        <f t="shared" si="11"/>
        <v>0</v>
      </c>
      <c r="L35" s="177">
        <f t="shared" si="11"/>
        <v>0</v>
      </c>
      <c r="M35" s="18">
        <f t="shared" si="11"/>
        <v>0</v>
      </c>
      <c r="N35" s="177">
        <f t="shared" si="11"/>
        <v>0</v>
      </c>
      <c r="O35" s="17">
        <f t="shared" si="10"/>
        <v>0</v>
      </c>
      <c r="P35" s="178">
        <f t="shared" si="10"/>
        <v>0</v>
      </c>
      <c r="Q35" s="150"/>
      <c r="R35" s="112"/>
      <c r="S35" s="25"/>
      <c r="T35" s="25"/>
      <c r="U35" s="46" t="s">
        <v>160</v>
      </c>
      <c r="V35" s="25"/>
      <c r="X35" s="25"/>
      <c r="Y35" s="25"/>
      <c r="Z35" s="25"/>
      <c r="AA35" s="25"/>
      <c r="AB35" s="25"/>
    </row>
    <row r="36" spans="1:28" x14ac:dyDescent="0.25">
      <c r="A36" s="12"/>
      <c r="B36" s="8"/>
      <c r="C36" s="8"/>
      <c r="D36" s="8"/>
      <c r="E36" s="8"/>
      <c r="F36" s="160"/>
      <c r="G36" s="8"/>
      <c r="H36" s="160"/>
      <c r="I36" s="8"/>
      <c r="J36" s="160"/>
      <c r="K36" s="8"/>
      <c r="L36" s="160"/>
      <c r="M36" s="8"/>
      <c r="N36" s="160"/>
      <c r="O36" s="13"/>
      <c r="P36" s="166"/>
      <c r="Q36" s="151"/>
      <c r="R36" s="86"/>
      <c r="S36" s="25"/>
      <c r="T36" s="31" t="s">
        <v>157</v>
      </c>
      <c r="U36" s="46" t="s">
        <v>161</v>
      </c>
      <c r="V36" s="25"/>
      <c r="W36" s="25"/>
      <c r="X36" s="25"/>
      <c r="Y36" s="25"/>
      <c r="Z36" s="25"/>
      <c r="AA36" s="25"/>
      <c r="AB36" s="25"/>
    </row>
    <row r="37" spans="1:28" x14ac:dyDescent="0.25">
      <c r="A37" s="175" t="s">
        <v>276</v>
      </c>
      <c r="B37" s="8" t="s">
        <v>277</v>
      </c>
      <c r="C37" s="8"/>
      <c r="D37" s="8"/>
      <c r="E37" s="8"/>
      <c r="F37" s="160"/>
      <c r="G37" s="8"/>
      <c r="H37" s="160"/>
      <c r="I37" s="8"/>
      <c r="J37" s="160"/>
      <c r="K37" s="8"/>
      <c r="L37" s="160"/>
      <c r="M37" s="8"/>
      <c r="N37" s="160"/>
      <c r="O37" s="13"/>
      <c r="P37" s="166"/>
      <c r="Q37" s="151"/>
      <c r="R37" s="86"/>
      <c r="T37" s="173" t="s">
        <v>158</v>
      </c>
      <c r="U37" s="25"/>
      <c r="V37" s="25"/>
      <c r="W37" s="25"/>
    </row>
    <row r="38" spans="1:28" outlineLevel="1" x14ac:dyDescent="0.25">
      <c r="A38" s="12"/>
      <c r="B38" s="71" t="s">
        <v>5</v>
      </c>
      <c r="C38" s="8" t="s">
        <v>22</v>
      </c>
      <c r="D38" s="8"/>
      <c r="E38" s="70">
        <f>SUM(U46:W46)</f>
        <v>0</v>
      </c>
      <c r="F38" s="160">
        <v>0</v>
      </c>
      <c r="G38" s="70">
        <f>$E$44</f>
        <v>0</v>
      </c>
      <c r="H38" s="160">
        <v>0</v>
      </c>
      <c r="I38" s="70">
        <f>$E$44</f>
        <v>0</v>
      </c>
      <c r="J38" s="160">
        <v>0</v>
      </c>
      <c r="K38" s="70">
        <f>$E$44</f>
        <v>0</v>
      </c>
      <c r="L38" s="160">
        <v>0</v>
      </c>
      <c r="M38" s="70">
        <f>$E$44</f>
        <v>0</v>
      </c>
      <c r="N38" s="160">
        <v>0</v>
      </c>
      <c r="O38" s="13">
        <f>IF(NOT(ISERROR(SUM(E38,G38,I38,K38,M38))),SUM(E38,G38,I38,K38,M38),IF(NOT(ISERROR(SUM(E38,G38,I38,K38))),SUM(E38,G38,I38,K38),IF(NOT(ISERROR(SUM(E38,G38,I38))),SUM(E38,G38,I38),IF(NOT(ISERROR(SUM(E38,G38))),SUM(E38,G38),E38))))</f>
        <v>0</v>
      </c>
      <c r="P38" s="166">
        <f t="shared" ref="O38:P40" si="12">IF(NOT(ISERROR(SUM(F38,H38,J38,L38,N38))),SUM(F38,H38,J38,L38,N38),IF(NOT(ISERROR(SUM(F38,H38,J38,L38))),SUM(F38,H38,J38,L38),IF(NOT(ISERROR(SUM(F38,H38,J38))),SUM(F38,H38,J38),IF(NOT(ISERROR(SUM(F38,H38))),SUM(F38,H38),F38))))</f>
        <v>0</v>
      </c>
      <c r="Q38" s="148"/>
      <c r="R38" s="86" t="s">
        <v>115</v>
      </c>
      <c r="T38" s="173" t="s">
        <v>97</v>
      </c>
      <c r="U38" s="25"/>
      <c r="V38" s="25"/>
      <c r="W38" s="25"/>
    </row>
    <row r="39" spans="1:28" outlineLevel="1" x14ac:dyDescent="0.25">
      <c r="A39" s="12"/>
      <c r="B39" s="71" t="s">
        <v>6</v>
      </c>
      <c r="C39" s="8" t="s">
        <v>23</v>
      </c>
      <c r="D39" s="8"/>
      <c r="E39" s="70">
        <v>0</v>
      </c>
      <c r="F39" s="160">
        <v>0</v>
      </c>
      <c r="G39" s="70">
        <v>0</v>
      </c>
      <c r="H39" s="160">
        <v>0</v>
      </c>
      <c r="I39" s="70">
        <v>0</v>
      </c>
      <c r="J39" s="160">
        <v>0</v>
      </c>
      <c r="K39" s="70">
        <v>0</v>
      </c>
      <c r="L39" s="160">
        <v>0</v>
      </c>
      <c r="M39" s="70">
        <v>0</v>
      </c>
      <c r="N39" s="160">
        <v>0</v>
      </c>
      <c r="O39" s="13">
        <f t="shared" si="12"/>
        <v>0</v>
      </c>
      <c r="P39" s="166">
        <f t="shared" si="12"/>
        <v>0</v>
      </c>
      <c r="Q39" s="148"/>
      <c r="R39" s="86" t="s">
        <v>115</v>
      </c>
      <c r="T39" s="173" t="s">
        <v>98</v>
      </c>
      <c r="U39" s="25">
        <v>1</v>
      </c>
      <c r="V39" s="25">
        <v>1</v>
      </c>
      <c r="W39" s="25">
        <v>1</v>
      </c>
    </row>
    <row r="40" spans="1:28" x14ac:dyDescent="0.25">
      <c r="A40" s="74"/>
      <c r="B40" s="75"/>
      <c r="C40" s="91" t="s">
        <v>181</v>
      </c>
      <c r="D40" s="76"/>
      <c r="E40" s="18">
        <f>SUM(E38:E39)</f>
        <v>0</v>
      </c>
      <c r="F40" s="177">
        <f t="shared" ref="F40:N40" si="13">SUM(F38:F39)</f>
        <v>0</v>
      </c>
      <c r="G40" s="18">
        <f t="shared" si="13"/>
        <v>0</v>
      </c>
      <c r="H40" s="177">
        <f t="shared" si="13"/>
        <v>0</v>
      </c>
      <c r="I40" s="18">
        <f t="shared" si="13"/>
        <v>0</v>
      </c>
      <c r="J40" s="177">
        <f t="shared" si="13"/>
        <v>0</v>
      </c>
      <c r="K40" s="18">
        <f t="shared" si="13"/>
        <v>0</v>
      </c>
      <c r="L40" s="177">
        <f t="shared" si="13"/>
        <v>0</v>
      </c>
      <c r="M40" s="18">
        <f t="shared" si="13"/>
        <v>0</v>
      </c>
      <c r="N40" s="177">
        <f t="shared" si="13"/>
        <v>0</v>
      </c>
      <c r="O40" s="17">
        <f t="shared" si="12"/>
        <v>0</v>
      </c>
      <c r="P40" s="178">
        <f t="shared" si="12"/>
        <v>0</v>
      </c>
      <c r="Q40" s="150"/>
      <c r="R40" s="112"/>
      <c r="T40" s="173" t="s">
        <v>259</v>
      </c>
      <c r="U40" s="25">
        <v>1</v>
      </c>
      <c r="V40" s="25">
        <v>1</v>
      </c>
      <c r="W40" s="25">
        <v>1</v>
      </c>
    </row>
    <row r="41" spans="1:28" x14ac:dyDescent="0.25">
      <c r="A41" s="12"/>
      <c r="B41" s="71"/>
      <c r="C41" s="90"/>
      <c r="D41" s="90"/>
      <c r="E41" s="70"/>
      <c r="F41" s="160"/>
      <c r="G41" s="70"/>
      <c r="H41" s="160"/>
      <c r="I41" s="70"/>
      <c r="J41" s="160"/>
      <c r="K41" s="70"/>
      <c r="L41" s="160"/>
      <c r="M41" s="70"/>
      <c r="N41" s="160"/>
      <c r="O41" s="13"/>
      <c r="P41" s="166"/>
      <c r="Q41" s="151"/>
      <c r="R41" s="86"/>
      <c r="T41" s="173" t="s">
        <v>189</v>
      </c>
      <c r="U41" s="25"/>
      <c r="V41" s="25"/>
      <c r="W41" s="25"/>
    </row>
    <row r="42" spans="1:28" x14ac:dyDescent="0.25">
      <c r="A42" s="175" t="s">
        <v>12</v>
      </c>
      <c r="B42" s="8" t="s">
        <v>16</v>
      </c>
      <c r="C42" s="8"/>
      <c r="D42" s="8"/>
      <c r="E42" s="8"/>
      <c r="F42" s="160"/>
      <c r="G42" s="8"/>
      <c r="H42" s="160"/>
      <c r="I42" s="8"/>
      <c r="J42" s="160"/>
      <c r="K42" s="8"/>
      <c r="L42" s="160"/>
      <c r="M42" s="8"/>
      <c r="N42" s="160"/>
      <c r="O42" s="13"/>
      <c r="P42" s="166"/>
      <c r="Q42" s="151"/>
      <c r="R42" s="86"/>
      <c r="S42" s="25"/>
      <c r="T42" s="173" t="s">
        <v>100</v>
      </c>
      <c r="U42" s="25"/>
      <c r="V42" s="25"/>
      <c r="W42" s="25"/>
      <c r="X42" s="25"/>
      <c r="Y42" s="25"/>
      <c r="Z42" s="25"/>
      <c r="AA42" s="25"/>
      <c r="AB42" s="25"/>
    </row>
    <row r="43" spans="1:28" outlineLevel="1" x14ac:dyDescent="0.25">
      <c r="A43" s="12"/>
      <c r="B43" s="71" t="s">
        <v>5</v>
      </c>
      <c r="C43" s="8"/>
      <c r="D43" s="8"/>
      <c r="E43" s="70">
        <v>0</v>
      </c>
      <c r="F43" s="160">
        <v>0</v>
      </c>
      <c r="G43" s="70">
        <v>0</v>
      </c>
      <c r="H43" s="160">
        <v>0</v>
      </c>
      <c r="I43" s="70">
        <v>0</v>
      </c>
      <c r="J43" s="160">
        <v>0</v>
      </c>
      <c r="K43" s="70">
        <v>0</v>
      </c>
      <c r="L43" s="160">
        <v>0</v>
      </c>
      <c r="M43" s="70">
        <v>0</v>
      </c>
      <c r="N43" s="160">
        <v>0</v>
      </c>
      <c r="O43" s="13">
        <f t="shared" ref="O43:P45" si="14">IF(NOT(ISERROR(SUM(E43,G43,I43,K43,M43))),SUM(E43,G43,I43,K43,M43),IF(NOT(ISERROR(SUM(E43,G43,I43,K43))),SUM(E43,G43,I43,K43),IF(NOT(ISERROR(SUM(E43,G43,I43))),SUM(E43,G43,I43),IF(NOT(ISERROR(SUM(E43,G43))),SUM(E43,G43),E43))))</f>
        <v>0</v>
      </c>
      <c r="P43" s="166">
        <f t="shared" si="14"/>
        <v>0</v>
      </c>
      <c r="Q43" s="148"/>
      <c r="R43" s="86" t="s">
        <v>107</v>
      </c>
      <c r="S43" s="25"/>
      <c r="T43" s="173" t="s">
        <v>159</v>
      </c>
      <c r="U43" s="25"/>
      <c r="V43" s="25"/>
      <c r="W43" s="25"/>
      <c r="X43" s="25"/>
      <c r="Y43" s="25"/>
      <c r="Z43" s="25"/>
      <c r="AA43" s="25"/>
      <c r="AB43" s="25"/>
    </row>
    <row r="44" spans="1:28" outlineLevel="1" x14ac:dyDescent="0.25">
      <c r="A44" s="12"/>
      <c r="B44" s="71" t="s">
        <v>6</v>
      </c>
      <c r="C44" s="8"/>
      <c r="D44" s="8"/>
      <c r="E44" s="70">
        <v>0</v>
      </c>
      <c r="F44" s="160">
        <v>0</v>
      </c>
      <c r="G44" s="70">
        <v>0</v>
      </c>
      <c r="H44" s="160">
        <v>0</v>
      </c>
      <c r="I44" s="70">
        <v>0</v>
      </c>
      <c r="J44" s="160">
        <v>0</v>
      </c>
      <c r="K44" s="70">
        <v>0</v>
      </c>
      <c r="L44" s="160">
        <v>0</v>
      </c>
      <c r="M44" s="70">
        <v>0</v>
      </c>
      <c r="N44" s="160">
        <v>0</v>
      </c>
      <c r="O44" s="13">
        <f t="shared" si="14"/>
        <v>0</v>
      </c>
      <c r="P44" s="166">
        <f t="shared" si="14"/>
        <v>0</v>
      </c>
      <c r="Q44" s="148"/>
      <c r="R44" s="86" t="s">
        <v>108</v>
      </c>
      <c r="S44" s="25"/>
      <c r="T44" s="173" t="s">
        <v>101</v>
      </c>
      <c r="U44" s="25"/>
      <c r="V44" s="25"/>
      <c r="W44" s="25"/>
      <c r="X44" s="25"/>
      <c r="Y44" s="25"/>
      <c r="Z44" s="25"/>
      <c r="AA44" s="25"/>
      <c r="AB44" s="25"/>
    </row>
    <row r="45" spans="1:28" x14ac:dyDescent="0.25">
      <c r="A45" s="74"/>
      <c r="B45" s="75"/>
      <c r="C45" s="91" t="s">
        <v>183</v>
      </c>
      <c r="D45" s="76"/>
      <c r="E45" s="18">
        <f>SUM(E43:E44)</f>
        <v>0</v>
      </c>
      <c r="F45" s="177">
        <f t="shared" ref="F45:N45" si="15">SUM(F43:F44)</f>
        <v>0</v>
      </c>
      <c r="G45" s="18">
        <f t="shared" si="15"/>
        <v>0</v>
      </c>
      <c r="H45" s="177">
        <f t="shared" si="15"/>
        <v>0</v>
      </c>
      <c r="I45" s="18">
        <f t="shared" si="15"/>
        <v>0</v>
      </c>
      <c r="J45" s="177">
        <f t="shared" si="15"/>
        <v>0</v>
      </c>
      <c r="K45" s="18">
        <f t="shared" si="15"/>
        <v>0</v>
      </c>
      <c r="L45" s="177">
        <f t="shared" si="15"/>
        <v>0</v>
      </c>
      <c r="M45" s="18">
        <f t="shared" si="15"/>
        <v>0</v>
      </c>
      <c r="N45" s="177">
        <f t="shared" si="15"/>
        <v>0</v>
      </c>
      <c r="O45" s="17">
        <f t="shared" si="14"/>
        <v>0</v>
      </c>
      <c r="P45" s="178">
        <f t="shared" si="14"/>
        <v>0</v>
      </c>
      <c r="Q45" s="150"/>
      <c r="R45" s="112"/>
      <c r="S45" s="25"/>
      <c r="T45" s="173" t="s">
        <v>102</v>
      </c>
      <c r="U45" s="25"/>
      <c r="V45" s="25"/>
      <c r="W45" s="25"/>
      <c r="X45" s="25"/>
      <c r="Y45" s="25"/>
      <c r="Z45" s="25"/>
      <c r="AA45" s="25"/>
      <c r="AB45" s="25"/>
    </row>
    <row r="46" spans="1:28" x14ac:dyDescent="0.25">
      <c r="A46" s="12"/>
      <c r="B46" s="71"/>
      <c r="C46" s="8"/>
      <c r="D46" s="8"/>
      <c r="E46" s="70"/>
      <c r="F46" s="160"/>
      <c r="G46" s="70"/>
      <c r="H46" s="160"/>
      <c r="I46" s="70"/>
      <c r="J46" s="160"/>
      <c r="K46" s="70"/>
      <c r="L46" s="160"/>
      <c r="M46" s="70"/>
      <c r="N46" s="160"/>
      <c r="O46" s="13"/>
      <c r="P46" s="166"/>
      <c r="Q46" s="151"/>
      <c r="R46" s="86"/>
      <c r="S46" s="25"/>
      <c r="T46" s="173" t="s">
        <v>95</v>
      </c>
      <c r="U46" s="25">
        <f>SUM(U41:U45)*U39*U40</f>
        <v>0</v>
      </c>
      <c r="V46" s="25">
        <f t="shared" ref="V46:W46" si="16">SUM(V41:V45)*V39*V40</f>
        <v>0</v>
      </c>
      <c r="W46" s="25">
        <f t="shared" si="16"/>
        <v>0</v>
      </c>
      <c r="X46" s="25"/>
      <c r="Y46" s="25"/>
      <c r="Z46" s="25"/>
      <c r="AA46" s="25"/>
      <c r="AB46" s="25"/>
    </row>
    <row r="47" spans="1:28" x14ac:dyDescent="0.25">
      <c r="A47" s="175" t="s">
        <v>13</v>
      </c>
      <c r="B47" s="8" t="s">
        <v>17</v>
      </c>
      <c r="C47" s="8"/>
      <c r="D47" s="8"/>
      <c r="E47" s="70"/>
      <c r="F47" s="160"/>
      <c r="G47" s="70"/>
      <c r="H47" s="160"/>
      <c r="I47" s="70"/>
      <c r="J47" s="160"/>
      <c r="K47" s="70"/>
      <c r="L47" s="160"/>
      <c r="M47" s="70"/>
      <c r="N47" s="160"/>
      <c r="O47" s="13"/>
      <c r="P47" s="166"/>
      <c r="Q47" s="151"/>
      <c r="S47" s="25"/>
      <c r="T47" s="10"/>
      <c r="U47" s="10"/>
      <c r="V47" s="10"/>
      <c r="W47" s="25"/>
      <c r="X47" s="25"/>
      <c r="Y47" s="25"/>
      <c r="Z47" s="25"/>
      <c r="AA47" s="25"/>
      <c r="AB47" s="25"/>
    </row>
    <row r="48" spans="1:28" x14ac:dyDescent="0.25">
      <c r="A48" s="12"/>
      <c r="B48" s="8" t="s">
        <v>5</v>
      </c>
      <c r="C48" s="8" t="s">
        <v>262</v>
      </c>
      <c r="D48" s="8"/>
      <c r="E48" s="70">
        <v>0</v>
      </c>
      <c r="F48" s="160">
        <v>0</v>
      </c>
      <c r="G48" s="70">
        <v>0</v>
      </c>
      <c r="H48" s="160">
        <v>0</v>
      </c>
      <c r="I48" s="70">
        <v>0</v>
      </c>
      <c r="J48" s="160">
        <v>0</v>
      </c>
      <c r="K48" s="70">
        <v>0</v>
      </c>
      <c r="L48" s="160">
        <v>0</v>
      </c>
      <c r="M48" s="70">
        <v>0</v>
      </c>
      <c r="N48" s="160">
        <v>0</v>
      </c>
      <c r="O48" s="13">
        <f>IF(NOT(ISERROR(SUM(E48,G48,I48,K48,M48))),SUM(E48,G48,I48,K48,M48),IF(NOT(ISERROR(SUM(E48,G48,I48,K48))),SUM(E48,G48,I48,K48),IF(NOT(ISERROR(SUM(E48,G48,I48))),SUM(E48,G48,I48),IF(NOT(ISERROR(SUM(E48,G48))),SUM(E48,G48),E48))))</f>
        <v>0</v>
      </c>
      <c r="P48" s="166">
        <f>IF(NOT(ISERROR(SUM(F48,H48,J48,L48,N48))),SUM(F48,H48,J48,L48,N48),IF(NOT(ISERROR(SUM(F48,H48,J48,L48))),SUM(F48,H48,J48,L48),IF(NOT(ISERROR(SUM(F48,H48,J48))),SUM(F48,H48,J48),IF(NOT(ISERROR(SUM(F48,H48))),SUM(F48,H48),F48))))</f>
        <v>0</v>
      </c>
      <c r="Q48" s="148"/>
      <c r="R48" s="86" t="s">
        <v>109</v>
      </c>
      <c r="S48" s="25"/>
      <c r="T48" s="10"/>
      <c r="U48" s="10"/>
      <c r="V48" s="10"/>
      <c r="W48" s="25"/>
      <c r="X48" s="25"/>
      <c r="Y48" s="25"/>
      <c r="Z48" s="25"/>
      <c r="AA48" s="25"/>
      <c r="AB48" s="25"/>
    </row>
    <row r="49" spans="1:28" x14ac:dyDescent="0.25">
      <c r="A49" s="12"/>
      <c r="B49" s="8" t="s">
        <v>6</v>
      </c>
      <c r="C49" s="8" t="s">
        <v>11</v>
      </c>
      <c r="D49" s="8"/>
      <c r="E49" s="70">
        <v>0</v>
      </c>
      <c r="F49" s="160"/>
      <c r="G49" s="70">
        <v>0</v>
      </c>
      <c r="H49" s="160"/>
      <c r="I49" s="70">
        <v>0</v>
      </c>
      <c r="J49" s="160"/>
      <c r="K49" s="70">
        <v>0</v>
      </c>
      <c r="L49" s="160"/>
      <c r="M49" s="70">
        <v>0</v>
      </c>
      <c r="N49" s="160"/>
      <c r="O49" s="13">
        <f>IF(NOT(ISERROR(SUM(E49,G49,I49,K49,M49))),SUM(E49,G49,I49,K49,M49),IF(NOT(ISERROR(SUM(E49,G49,I49,K49))),SUM(E49,G49,I49,K49),IF(NOT(ISERROR(SUM(E49,G49,I49))),SUM(E49,G49,I49),IF(NOT(ISERROR(SUM(E49,G49))),SUM(E49,G49),E49))))</f>
        <v>0</v>
      </c>
      <c r="P49" s="166"/>
      <c r="Q49" s="151"/>
      <c r="R49" s="174" t="s">
        <v>113</v>
      </c>
      <c r="S49" s="25"/>
      <c r="T49" s="10"/>
      <c r="U49" s="10"/>
      <c r="V49" s="10"/>
      <c r="W49" s="25"/>
      <c r="X49" s="25"/>
      <c r="Y49" s="25"/>
      <c r="Z49" s="25"/>
      <c r="AA49" s="25"/>
      <c r="AB49" s="25"/>
    </row>
    <row r="50" spans="1:28" x14ac:dyDescent="0.25">
      <c r="A50" s="12"/>
      <c r="B50" s="71" t="s">
        <v>7</v>
      </c>
      <c r="C50" s="8" t="s">
        <v>263</v>
      </c>
      <c r="D50" s="8"/>
      <c r="E50" s="70">
        <v>0</v>
      </c>
      <c r="F50" s="160">
        <v>0</v>
      </c>
      <c r="G50" s="70">
        <v>0</v>
      </c>
      <c r="H50" s="160">
        <v>0</v>
      </c>
      <c r="I50" s="70">
        <v>0</v>
      </c>
      <c r="J50" s="160">
        <v>0</v>
      </c>
      <c r="K50" s="70">
        <v>0</v>
      </c>
      <c r="L50" s="160">
        <v>0</v>
      </c>
      <c r="M50" s="70">
        <v>0</v>
      </c>
      <c r="N50" s="160">
        <v>0</v>
      </c>
      <c r="O50" s="13">
        <f>IF(NOT(ISERROR(SUM(E50,G50,I50,K50,M50))),SUM(E50,G50,I50,K50,M50),IF(NOT(ISERROR(SUM(E50,G50,I50,K50))),SUM(E50,G50,I50,K50),IF(NOT(ISERROR(SUM(E50,G50,I50))),SUM(E50,G50,I50),IF(NOT(ISERROR(SUM(E50,G50))),SUM(E50,G50),E50))))</f>
        <v>0</v>
      </c>
      <c r="P50" s="166">
        <f t="shared" ref="P50:P57" si="17">IF(NOT(ISERROR(SUM(F50,H50,J50,L50,N50))),SUM(F50,H50,J50,L50,N50),IF(NOT(ISERROR(SUM(F50,H50,J50,L50))),SUM(F50,H50,J50,L50),IF(NOT(ISERROR(SUM(F50,H50,J50))),SUM(F50,H50,J50),IF(NOT(ISERROR(SUM(F50,H50))),SUM(F50,H50),F50))))</f>
        <v>0</v>
      </c>
      <c r="Q50" s="148"/>
      <c r="R50" s="174" t="s">
        <v>110</v>
      </c>
      <c r="S50" s="25"/>
      <c r="T50" s="10"/>
      <c r="U50" s="10"/>
      <c r="V50" s="10"/>
      <c r="W50" s="25"/>
      <c r="X50" s="25"/>
      <c r="Y50" s="25"/>
      <c r="Z50" s="25"/>
      <c r="AA50" s="25"/>
      <c r="AB50" s="25"/>
    </row>
    <row r="51" spans="1:28" x14ac:dyDescent="0.25">
      <c r="A51" s="12"/>
      <c r="B51" s="71" t="s">
        <v>8</v>
      </c>
      <c r="C51" s="8" t="s">
        <v>27</v>
      </c>
      <c r="D51" s="8"/>
      <c r="E51" s="70">
        <v>0</v>
      </c>
      <c r="F51" s="160">
        <v>0</v>
      </c>
      <c r="G51" s="70">
        <v>0</v>
      </c>
      <c r="H51" s="160">
        <v>0</v>
      </c>
      <c r="I51" s="70">
        <v>0</v>
      </c>
      <c r="J51" s="160">
        <v>0</v>
      </c>
      <c r="K51" s="70">
        <v>0</v>
      </c>
      <c r="L51" s="160">
        <v>0</v>
      </c>
      <c r="M51" s="70">
        <v>0</v>
      </c>
      <c r="N51" s="160">
        <v>0</v>
      </c>
      <c r="O51" s="13">
        <f>IF(NOT(ISERROR(SUM(E51,G51,I51,K51,M51))),SUM(E51,G51,I51,K51,M51),IF(NOT(ISERROR(SUM(E51,G51,I51,K51))),SUM(E51,G51,I51,K51),IF(NOT(ISERROR(SUM(E51,G51,I51))),SUM(E51,G51,I51),IF(NOT(ISERROR(SUM(E51,G51))),SUM(E51,G51),E51))))</f>
        <v>0</v>
      </c>
      <c r="P51" s="166">
        <f t="shared" si="17"/>
        <v>0</v>
      </c>
      <c r="Q51" s="148"/>
      <c r="R51" s="174" t="s">
        <v>112</v>
      </c>
      <c r="S51" s="25"/>
      <c r="T51" s="10"/>
      <c r="U51" s="10"/>
      <c r="V51" s="10"/>
      <c r="W51" s="25"/>
      <c r="X51" s="25"/>
      <c r="Y51" s="25"/>
      <c r="Z51" s="25"/>
      <c r="AA51" s="25"/>
      <c r="AB51" s="25"/>
    </row>
    <row r="52" spans="1:28" x14ac:dyDescent="0.25">
      <c r="A52" s="12"/>
      <c r="B52" s="71" t="s">
        <v>10</v>
      </c>
      <c r="C52" s="8" t="s">
        <v>117</v>
      </c>
      <c r="D52" s="8"/>
      <c r="E52" s="70">
        <v>0</v>
      </c>
      <c r="F52" s="160">
        <v>0</v>
      </c>
      <c r="G52" s="70">
        <v>0</v>
      </c>
      <c r="H52" s="160">
        <v>0</v>
      </c>
      <c r="I52" s="70">
        <v>0</v>
      </c>
      <c r="J52" s="160">
        <v>0</v>
      </c>
      <c r="K52" s="70">
        <v>0</v>
      </c>
      <c r="L52" s="160">
        <v>0</v>
      </c>
      <c r="M52" s="70">
        <v>0</v>
      </c>
      <c r="N52" s="160">
        <v>0</v>
      </c>
      <c r="O52" s="13">
        <f>IF(NOT(ISERROR(SUM(E52,G52,I52,K52,M52))),SUM(E52,G52,I52,K52,M52),IF(NOT(ISERROR(SUM(E52,G52,I52,K52))),SUM(E52,G52,I52,K52),IF(NOT(ISERROR(SUM(E52,G52,I52))),SUM(E52,G52,I52),IF(NOT(ISERROR(SUM(E52,G52))),SUM(E52,G52),E52))))</f>
        <v>0</v>
      </c>
      <c r="P52" s="166">
        <f t="shared" si="17"/>
        <v>0</v>
      </c>
      <c r="Q52" s="148"/>
      <c r="R52" s="174" t="s">
        <v>111</v>
      </c>
      <c r="S52" s="25"/>
      <c r="T52" s="10"/>
      <c r="U52" s="10"/>
      <c r="V52" s="10"/>
      <c r="W52" s="25"/>
      <c r="X52" s="25"/>
      <c r="Y52" s="25"/>
      <c r="Z52" s="25"/>
      <c r="AA52" s="25"/>
      <c r="AB52" s="25"/>
    </row>
    <row r="53" spans="1:28" x14ac:dyDescent="0.25">
      <c r="A53" s="12"/>
      <c r="B53" s="71" t="s">
        <v>24</v>
      </c>
      <c r="C53" s="8" t="s">
        <v>196</v>
      </c>
      <c r="D53" s="8"/>
      <c r="E53" s="70">
        <v>0</v>
      </c>
      <c r="F53" s="160">
        <v>0</v>
      </c>
      <c r="G53" s="70">
        <v>0</v>
      </c>
      <c r="H53" s="160">
        <v>0</v>
      </c>
      <c r="I53" s="70">
        <v>0</v>
      </c>
      <c r="J53" s="160">
        <v>0</v>
      </c>
      <c r="K53" s="70">
        <v>0</v>
      </c>
      <c r="L53" s="160">
        <v>0</v>
      </c>
      <c r="M53" s="70">
        <v>0</v>
      </c>
      <c r="N53" s="160">
        <v>0</v>
      </c>
      <c r="O53" s="13">
        <f>IF(NOT(ISERROR(SUM(E53,G53,I53,K53,M53))),SUM(E53,G53,I53,K53,M53),IF(NOT(ISERROR(SUM(E53,G53,I53,K53))),SUM(E53,G53,I53,K53),IF(NOT(ISERROR(SUM(E53,G53,I53))),SUM(E53,G53,I53),IF(NOT(ISERROR(SUM(E53,G53))),SUM(E53,G53),E53))))</f>
        <v>0</v>
      </c>
      <c r="P53" s="166">
        <f t="shared" si="17"/>
        <v>0</v>
      </c>
      <c r="Q53" s="148"/>
      <c r="R53" s="86"/>
      <c r="S53" s="25"/>
      <c r="V53" s="25"/>
      <c r="W53" s="25"/>
      <c r="X53" s="25"/>
      <c r="Y53" s="25"/>
      <c r="Z53" s="25"/>
      <c r="AA53" s="25"/>
      <c r="AB53" s="25"/>
    </row>
    <row r="54" spans="1:28" outlineLevel="1" x14ac:dyDescent="0.25">
      <c r="A54" s="12"/>
      <c r="B54" s="71" t="s">
        <v>25</v>
      </c>
      <c r="C54" s="8" t="s">
        <v>199</v>
      </c>
      <c r="D54" s="77" t="s">
        <v>212</v>
      </c>
      <c r="E54" s="70"/>
      <c r="F54" s="160">
        <v>0</v>
      </c>
      <c r="G54" s="70"/>
      <c r="H54" s="160">
        <v>0</v>
      </c>
      <c r="I54" s="70"/>
      <c r="J54" s="160">
        <v>0</v>
      </c>
      <c r="K54" s="70"/>
      <c r="L54" s="160">
        <v>0</v>
      </c>
      <c r="M54" s="70"/>
      <c r="N54" s="160">
        <v>0</v>
      </c>
      <c r="O54" s="13"/>
      <c r="P54" s="166">
        <f t="shared" si="17"/>
        <v>0</v>
      </c>
      <c r="Q54" s="148"/>
      <c r="R54" s="86"/>
      <c r="S54" s="25"/>
      <c r="T54" s="25"/>
      <c r="U54" s="25"/>
      <c r="V54" s="145"/>
      <c r="W54" s="145"/>
      <c r="X54" s="145"/>
      <c r="Y54" s="25"/>
      <c r="Z54" s="25"/>
      <c r="AA54" s="25"/>
      <c r="AB54" s="25"/>
    </row>
    <row r="55" spans="1:28" outlineLevel="1" x14ac:dyDescent="0.25">
      <c r="A55" s="12"/>
      <c r="B55" s="71"/>
      <c r="C55" s="8"/>
      <c r="D55" s="77" t="s">
        <v>212</v>
      </c>
      <c r="E55" s="70"/>
      <c r="F55" s="160">
        <v>0</v>
      </c>
      <c r="G55" s="70"/>
      <c r="H55" s="160">
        <v>0</v>
      </c>
      <c r="I55" s="70"/>
      <c r="J55" s="160">
        <v>0</v>
      </c>
      <c r="K55" s="70"/>
      <c r="L55" s="160">
        <v>0</v>
      </c>
      <c r="M55" s="70"/>
      <c r="N55" s="160">
        <v>0</v>
      </c>
      <c r="O55" s="13"/>
      <c r="P55" s="166">
        <f t="shared" si="17"/>
        <v>0</v>
      </c>
      <c r="Q55" s="148"/>
      <c r="R55" s="86"/>
      <c r="S55" s="228" t="str">
        <f>IF(P54=0,"",P54/$O$86)</f>
        <v/>
      </c>
      <c r="T55" s="228"/>
      <c r="U55" s="67"/>
      <c r="V55" s="144"/>
      <c r="W55" s="144"/>
      <c r="X55" s="144"/>
      <c r="Y55" s="25"/>
      <c r="Z55" s="25"/>
      <c r="AA55" s="25"/>
      <c r="AB55" s="25"/>
    </row>
    <row r="56" spans="1:28" outlineLevel="1" x14ac:dyDescent="0.25">
      <c r="A56" s="12"/>
      <c r="B56" s="71"/>
      <c r="C56" s="8"/>
      <c r="D56" s="77" t="s">
        <v>212</v>
      </c>
      <c r="E56" s="70"/>
      <c r="F56" s="160">
        <v>0</v>
      </c>
      <c r="G56" s="70"/>
      <c r="H56" s="160">
        <v>0</v>
      </c>
      <c r="I56" s="70"/>
      <c r="J56" s="160">
        <v>0</v>
      </c>
      <c r="K56" s="70"/>
      <c r="L56" s="160">
        <v>0</v>
      </c>
      <c r="M56" s="70"/>
      <c r="N56" s="160">
        <v>0</v>
      </c>
      <c r="O56" s="13"/>
      <c r="P56" s="166">
        <f t="shared" si="17"/>
        <v>0</v>
      </c>
      <c r="Q56" s="148"/>
      <c r="R56" s="86"/>
      <c r="S56" s="228" t="str">
        <f>IF(P55=0,"",P55/$O$86)</f>
        <v/>
      </c>
      <c r="T56" s="228"/>
      <c r="U56" s="67"/>
      <c r="V56" s="144"/>
      <c r="W56" s="144"/>
      <c r="X56" s="144"/>
      <c r="Y56" s="25"/>
      <c r="Z56" s="25"/>
      <c r="AA56" s="25"/>
      <c r="AB56" s="25"/>
    </row>
    <row r="57" spans="1:28" x14ac:dyDescent="0.25">
      <c r="A57" s="12"/>
      <c r="B57" s="71" t="s">
        <v>26</v>
      </c>
      <c r="C57" s="8" t="s">
        <v>264</v>
      </c>
      <c r="D57" s="77" t="s">
        <v>211</v>
      </c>
      <c r="E57" s="70">
        <v>0</v>
      </c>
      <c r="F57" s="160">
        <v>0</v>
      </c>
      <c r="G57" s="70">
        <v>0</v>
      </c>
      <c r="H57" s="160">
        <v>0</v>
      </c>
      <c r="I57" s="70">
        <v>0</v>
      </c>
      <c r="J57" s="160">
        <v>0</v>
      </c>
      <c r="K57" s="70">
        <v>0</v>
      </c>
      <c r="L57" s="160">
        <v>0</v>
      </c>
      <c r="M57" s="70">
        <v>0</v>
      </c>
      <c r="N57" s="160">
        <v>0</v>
      </c>
      <c r="O57" s="13">
        <f>IF(NOT(ISERROR(SUM(E57,G57,I57,K57,M57))),SUM(E57,G57,I57,K57,M57),IF(NOT(ISERROR(SUM(E57,G57,I57,K57))),SUM(E57,G57,I57,K57),IF(NOT(ISERROR(SUM(E57,G57,I57))),SUM(E57,G57,I57),IF(NOT(ISERROR(SUM(E57,G57))),SUM(E57,G57),E57))))</f>
        <v>0</v>
      </c>
      <c r="P57" s="166">
        <f t="shared" si="17"/>
        <v>0</v>
      </c>
      <c r="Q57" s="148"/>
      <c r="R57" s="86" t="s">
        <v>114</v>
      </c>
      <c r="S57" s="228" t="str">
        <f>IF(O57=0,"",IF(P57=0,0,P57/$O$86))</f>
        <v/>
      </c>
      <c r="T57" s="228"/>
      <c r="U57" s="67"/>
      <c r="V57" s="144"/>
      <c r="W57" s="144"/>
      <c r="X57" s="144"/>
      <c r="Y57" s="25"/>
      <c r="Z57" s="25"/>
      <c r="AA57" s="25"/>
      <c r="AB57" s="25"/>
    </row>
    <row r="58" spans="1:28" x14ac:dyDescent="0.25">
      <c r="A58" s="12"/>
      <c r="B58" s="71"/>
      <c r="D58" s="67" t="s">
        <v>150</v>
      </c>
      <c r="E58" s="78">
        <f>IF(E57=0,0,IF(E57&gt;25000,(E57-25000),IF(E57&lt;=25000,0)))</f>
        <v>0</v>
      </c>
      <c r="F58" s="160"/>
      <c r="G58" s="78">
        <f>IF(G57=0,0,IF(E57&gt;25000,G57,IF(E57&lt;=25000,IF(E57+G57&lt;=25000,0,IF(E57+G57&gt;25000,E57+G57-25000)))))</f>
        <v>0</v>
      </c>
      <c r="H58" s="160"/>
      <c r="I58" s="78">
        <f>IF(I57=0,0,IF(E57+G57&gt;25000,I57,IF(E57+G57&lt;=25000,IF(E57+G57+I57&lt;=25000,0,IF(E57+G57+I57&gt;25000,E57+G57+I57-25000)))))</f>
        <v>0</v>
      </c>
      <c r="J58" s="160"/>
      <c r="K58" s="78">
        <f>IF(K57=0,0,IF(E57+G57+I57&gt;25000,K57,IF(E57+G57+I57&lt;=25000,IF(E57+G57+I57+K57&lt;=25000,0,IF(E57+G57+I57+K57&gt;25000,E57+G57+I57+K57-25000)))))</f>
        <v>0</v>
      </c>
      <c r="L58" s="160"/>
      <c r="M58" s="78">
        <f>IF(M57=0,0,IF(E57+G57+I57+K57&gt;25000,M57,IF(E57+G57+I57+K57&lt;=25000,IF(E57+G57+I57+K57+M57&lt;=25000,0,IF(E57+G57+I57+K57+M57&gt;25000,E57+G57+I57+K57+M57-25000)))))</f>
        <v>0</v>
      </c>
      <c r="N58" s="160"/>
      <c r="O58" s="13"/>
      <c r="P58" s="166"/>
      <c r="Q58" s="151"/>
      <c r="R58" s="86"/>
      <c r="S58" s="42" t="s">
        <v>151</v>
      </c>
      <c r="U58" s="67"/>
      <c r="V58" s="144"/>
      <c r="W58" s="144"/>
      <c r="X58" s="144"/>
      <c r="Y58" s="25"/>
      <c r="Z58" s="25"/>
      <c r="AA58" s="25"/>
      <c r="AB58" s="25"/>
    </row>
    <row r="59" spans="1:28" outlineLevel="1" x14ac:dyDescent="0.25">
      <c r="A59" s="12"/>
      <c r="B59" s="71"/>
      <c r="C59" s="8"/>
      <c r="D59" s="77" t="s">
        <v>211</v>
      </c>
      <c r="E59" s="70">
        <v>0</v>
      </c>
      <c r="F59" s="160">
        <v>0</v>
      </c>
      <c r="G59" s="70">
        <v>0</v>
      </c>
      <c r="H59" s="160">
        <v>0</v>
      </c>
      <c r="I59" s="70">
        <v>0</v>
      </c>
      <c r="J59" s="160">
        <v>0</v>
      </c>
      <c r="K59" s="70">
        <v>0</v>
      </c>
      <c r="L59" s="160">
        <v>0</v>
      </c>
      <c r="M59" s="70">
        <v>0</v>
      </c>
      <c r="N59" s="160">
        <v>0</v>
      </c>
      <c r="O59" s="13">
        <f>IF(NOT(ISERROR(SUM(E59,G59,I59,K59,M59))),SUM(E59,G59,I59,K59,M59),IF(NOT(ISERROR(SUM(E59,G59,I59,K59))),SUM(E59,G59,I59,K59),IF(NOT(ISERROR(SUM(E59,G59,I59))),SUM(E59,G59,I59),IF(NOT(ISERROR(SUM(E59,G59))),SUM(E59,G59),E59))))</f>
        <v>0</v>
      </c>
      <c r="P59" s="166">
        <f>IF(NOT(ISERROR(SUM(F59,H59,J59,L59,N59))),SUM(F59,H59,J59,L59,N59),IF(NOT(ISERROR(SUM(F59,H59,J59,L59))),SUM(F59,H59,J59,L59),IF(NOT(ISERROR(SUM(F59,H59,J59))),SUM(F59,H59,J59),IF(NOT(ISERROR(SUM(F59,H59))),SUM(F59,H59),F59))))</f>
        <v>0</v>
      </c>
      <c r="Q59" s="148"/>
      <c r="R59" s="86" t="s">
        <v>114</v>
      </c>
      <c r="S59" s="228" t="str">
        <f>IF(O59=0,"",IF(P59=0,0,P59/$O$86))</f>
        <v/>
      </c>
      <c r="T59" s="228"/>
      <c r="U59" s="25"/>
      <c r="V59" s="144"/>
      <c r="W59" s="144"/>
      <c r="X59" s="144"/>
      <c r="Y59" s="25"/>
      <c r="Z59" s="25"/>
      <c r="AA59" s="25"/>
      <c r="AB59" s="25"/>
    </row>
    <row r="60" spans="1:28" outlineLevel="1" x14ac:dyDescent="0.25">
      <c r="A60" s="12"/>
      <c r="B60" s="71"/>
      <c r="D60" s="67" t="s">
        <v>150</v>
      </c>
      <c r="E60" s="78">
        <f>IF(E59=0,0,IF(E59&gt;25000,(E59-25000),IF(E59&lt;=25000,0)))</f>
        <v>0</v>
      </c>
      <c r="F60" s="160"/>
      <c r="G60" s="78">
        <f>IF(G59=0,0,IF(E59&gt;25000,G59,IF(E59&lt;=25000,IF(E59+G59&lt;=25000,0,IF(E59+G59&gt;25000,E59+G59-25000)))))</f>
        <v>0</v>
      </c>
      <c r="H60" s="160"/>
      <c r="I60" s="78">
        <f>IF(I59=0,0,IF(E59+G59&gt;25000,I59,IF(E59+G59&lt;=25000,IF(E59+G59+I59&lt;=25000,0,IF(E59+G59+I59&gt;25000,E59+G59+I59-25000)))))</f>
        <v>0</v>
      </c>
      <c r="J60" s="160"/>
      <c r="K60" s="78">
        <f>IF(K59=0,0,IF(E59+G59+I59&gt;25000,K59,IF(E59+G59+I59&lt;=25000,IF(E59+G59+I59+K59&lt;=25000,0,IF(E59+G59+I59+K59&gt;25000,E59+G59+I59+K59-25000)))))</f>
        <v>0</v>
      </c>
      <c r="L60" s="160"/>
      <c r="M60" s="78">
        <f>IF(M59=0,0,IF(E59+G59+I59+K59&gt;25000,M59,IF(E59+G59+I59+K59&lt;=25000,IF(E59+G59+I59+K59+M59&lt;=25000,0,IF(E59+G59+I59+K59+M59&gt;25000,E59+G59+I59+K59+M59-25000)))))</f>
        <v>0</v>
      </c>
      <c r="N60" s="160"/>
      <c r="O60" s="13"/>
      <c r="P60" s="166"/>
      <c r="Q60" s="151"/>
      <c r="R60" s="86"/>
      <c r="S60" s="42" t="s">
        <v>151</v>
      </c>
      <c r="U60" s="67"/>
      <c r="V60" s="144"/>
      <c r="W60" s="144"/>
      <c r="X60" s="144"/>
      <c r="Y60" s="25"/>
      <c r="Z60" s="25"/>
      <c r="AA60" s="25"/>
      <c r="AB60" s="25"/>
    </row>
    <row r="61" spans="1:28" outlineLevel="1" x14ac:dyDescent="0.25">
      <c r="A61" s="12"/>
      <c r="B61" s="71"/>
      <c r="C61" s="8"/>
      <c r="D61" s="77" t="s">
        <v>211</v>
      </c>
      <c r="E61" s="70">
        <v>0</v>
      </c>
      <c r="F61" s="160">
        <v>0</v>
      </c>
      <c r="G61" s="70">
        <v>0</v>
      </c>
      <c r="H61" s="160">
        <v>0</v>
      </c>
      <c r="I61" s="70">
        <v>0</v>
      </c>
      <c r="J61" s="160">
        <v>0</v>
      </c>
      <c r="K61" s="70">
        <v>0</v>
      </c>
      <c r="L61" s="160">
        <v>0</v>
      </c>
      <c r="M61" s="70">
        <v>0</v>
      </c>
      <c r="N61" s="160">
        <v>0</v>
      </c>
      <c r="O61" s="13">
        <f>IF(NOT(ISERROR(SUM(E61,G61,I61,K61,M61))),SUM(E61,G61,I61,K61,M61),IF(NOT(ISERROR(SUM(E61,G61,I61,K61))),SUM(E61,G61,I61,K61),IF(NOT(ISERROR(SUM(E61,G61,I61))),SUM(E61,G61,I61),IF(NOT(ISERROR(SUM(E61,G61))),SUM(E61,G61),E61))))</f>
        <v>0</v>
      </c>
      <c r="P61" s="166">
        <f>IF(NOT(ISERROR(SUM(F61,H61,J61,L61,N61))),SUM(F61,H61,J61,L61,N61),IF(NOT(ISERROR(SUM(F61,H61,J61,L61))),SUM(F61,H61,J61,L61),IF(NOT(ISERROR(SUM(F61,H61,J61))),SUM(F61,H61,J61),IF(NOT(ISERROR(SUM(F61,H61))),SUM(F61,H61),F61))))</f>
        <v>0</v>
      </c>
      <c r="Q61" s="148"/>
      <c r="R61" s="86" t="s">
        <v>114</v>
      </c>
      <c r="S61" s="228" t="str">
        <f>IF(O61=0,"",IF(P61=0,0,P61/$O$86))</f>
        <v/>
      </c>
      <c r="T61" s="228"/>
      <c r="U61" s="25"/>
      <c r="V61" s="144"/>
      <c r="W61" s="144"/>
      <c r="X61" s="144"/>
      <c r="Y61" s="25"/>
      <c r="Z61" s="25"/>
      <c r="AA61" s="25"/>
      <c r="AB61" s="25"/>
    </row>
    <row r="62" spans="1:28" outlineLevel="1" x14ac:dyDescent="0.25">
      <c r="A62" s="12"/>
      <c r="B62" s="71"/>
      <c r="D62" s="67" t="s">
        <v>150</v>
      </c>
      <c r="E62" s="78">
        <f>IF(E61=0,0,IF(E61&gt;25000,(E61-25000),IF(E61&lt;=25000,0)))</f>
        <v>0</v>
      </c>
      <c r="F62" s="160"/>
      <c r="G62" s="78">
        <f>IF(G61=0,0,IF(E61&gt;25000,G61,IF(E61&lt;=25000,IF(E61+G61&lt;=25000,0,IF(E61+G61&gt;25000,E61+G61-25000)))))</f>
        <v>0</v>
      </c>
      <c r="H62" s="160"/>
      <c r="I62" s="78">
        <f>IF(I61=0,0,IF(E61+G61&gt;25000,I61,IF(E61+G61&lt;=25000,IF(E61+G61+I61&lt;=25000,0,IF(E61+G61+I61&gt;25000,E61+G61+I61-25000)))))</f>
        <v>0</v>
      </c>
      <c r="J62" s="160"/>
      <c r="K62" s="78">
        <f>IF(K61=0,0,IF(E61+G61+I61&gt;25000,K61,IF(E61+G61+I61&lt;=25000,IF(E61+G61+I61+K61&lt;=25000,0,IF(E61+G61+I61+K61&gt;25000,E61+G61+I61+K61-25000)))))</f>
        <v>0</v>
      </c>
      <c r="L62" s="160"/>
      <c r="M62" s="78">
        <f>IF(M61=0,0,IF(E61+G61+I61+K61&gt;25000,M61,IF(E61+G61+I61+K61&lt;=25000,IF(E61+G61+I61+K61+M61&lt;=25000,0,IF(E61+G61+I61+K61+M61&gt;25000,E61+G61+I61+K61+M61-25000)))))</f>
        <v>0</v>
      </c>
      <c r="N62" s="160"/>
      <c r="O62" s="13"/>
      <c r="P62" s="166"/>
      <c r="Q62" s="151"/>
      <c r="R62" s="86"/>
      <c r="S62" s="42" t="s">
        <v>151</v>
      </c>
      <c r="U62" s="67"/>
      <c r="V62" s="144"/>
      <c r="W62" s="144"/>
      <c r="X62" s="144"/>
      <c r="Y62" s="25"/>
      <c r="Z62" s="25"/>
      <c r="AA62" s="25"/>
      <c r="AB62" s="25"/>
    </row>
    <row r="63" spans="1:28" outlineLevel="1" x14ac:dyDescent="0.25">
      <c r="A63" s="12"/>
      <c r="B63" s="71"/>
      <c r="C63" s="8"/>
      <c r="D63" s="77" t="s">
        <v>211</v>
      </c>
      <c r="E63" s="70">
        <v>0</v>
      </c>
      <c r="F63" s="160">
        <v>0</v>
      </c>
      <c r="G63" s="70">
        <v>0</v>
      </c>
      <c r="H63" s="160">
        <v>0</v>
      </c>
      <c r="I63" s="70">
        <v>0</v>
      </c>
      <c r="J63" s="160">
        <v>0</v>
      </c>
      <c r="K63" s="70">
        <v>0</v>
      </c>
      <c r="L63" s="160">
        <v>0</v>
      </c>
      <c r="M63" s="70">
        <v>0</v>
      </c>
      <c r="N63" s="160">
        <v>0</v>
      </c>
      <c r="O63" s="13">
        <f>IF(NOT(ISERROR(SUM(E63,G63,I63,K63,M63))),SUM(E63,G63,I63,K63,M63),IF(NOT(ISERROR(SUM(E63,G63,I63,K63))),SUM(E63,G63,I63,K63),IF(NOT(ISERROR(SUM(E63,G63,I63))),SUM(E63,G63,I63),IF(NOT(ISERROR(SUM(E63,G63))),SUM(E63,G63),E63))))</f>
        <v>0</v>
      </c>
      <c r="P63" s="166">
        <f>IF(NOT(ISERROR(SUM(F63,H63,J63,L63,N63))),SUM(F63,H63,J63,L63,N63),IF(NOT(ISERROR(SUM(F63,H63,J63,L63))),SUM(F63,H63,J63,L63),IF(NOT(ISERROR(SUM(F63,H63,J63))),SUM(F63,H63,J63),IF(NOT(ISERROR(SUM(F63,H63))),SUM(F63,H63),F63))))</f>
        <v>0</v>
      </c>
      <c r="Q63" s="148"/>
      <c r="R63" s="86" t="s">
        <v>114</v>
      </c>
      <c r="S63" s="228" t="str">
        <f>IF(O63=0,"",IF(P63=0,0,P63/$O$86))</f>
        <v/>
      </c>
      <c r="T63" s="228"/>
      <c r="U63" s="25"/>
      <c r="V63" s="144"/>
      <c r="W63" s="144"/>
      <c r="X63" s="144"/>
      <c r="Y63" s="25"/>
      <c r="Z63" s="25"/>
      <c r="AA63" s="25"/>
      <c r="AB63" s="25"/>
    </row>
    <row r="64" spans="1:28" outlineLevel="1" x14ac:dyDescent="0.25">
      <c r="A64" s="12"/>
      <c r="B64" s="71"/>
      <c r="D64" s="67" t="s">
        <v>150</v>
      </c>
      <c r="E64" s="78">
        <f>IF(E63=0,0,IF(E63&gt;25000,(E63-25000),IF(E63&lt;=25000,0)))</f>
        <v>0</v>
      </c>
      <c r="F64" s="160"/>
      <c r="G64" s="78">
        <f>IF(G63=0,0,IF(E63&gt;25000,G63,IF(E63&lt;=25000,IF(E63+G63&lt;=25000,0,IF(E63+G63&gt;25000,E63+G63-25000)))))</f>
        <v>0</v>
      </c>
      <c r="H64" s="160"/>
      <c r="I64" s="78">
        <f>IF(I63=0,0,IF(E63+G63&gt;25000,I63,IF(E63+G63&lt;=25000,IF(E63+G63+I63&lt;=25000,0,IF(E63+G63+I63&gt;25000,E63+G63+I63-25000)))))</f>
        <v>0</v>
      </c>
      <c r="J64" s="160"/>
      <c r="K64" s="78">
        <f>IF(K63=0,0,IF(E63+G63+I63&gt;25000,K63,IF(E63+G63+I63&lt;=25000,IF(E63+G63+I63+K63&lt;=25000,0,IF(E63+G63+I63+K63&gt;25000,E63+G63+I63+K63-25000)))))</f>
        <v>0</v>
      </c>
      <c r="L64" s="160"/>
      <c r="M64" s="78">
        <f>IF(M63=0,0,IF(E63+G63+I63+K63&gt;25000,M63,IF(E63+G63+I63+K63&lt;=25000,IF(E63+G63+I63+K63+M63&lt;=25000,0,IF(E63+G63+I63+K63+M63&gt;25000,E63+G63+I63+K63+M63-25000)))))</f>
        <v>0</v>
      </c>
      <c r="N64" s="160"/>
      <c r="O64" s="13"/>
      <c r="P64" s="166"/>
      <c r="Q64" s="151"/>
      <c r="R64" s="86"/>
      <c r="S64" s="42" t="s">
        <v>151</v>
      </c>
      <c r="U64" s="67"/>
      <c r="V64" s="144"/>
      <c r="W64" s="144"/>
      <c r="X64" s="144"/>
      <c r="Y64" s="25"/>
      <c r="Z64" s="25"/>
      <c r="AA64" s="25"/>
      <c r="AB64" s="25"/>
    </row>
    <row r="65" spans="1:28" outlineLevel="1" x14ac:dyDescent="0.25">
      <c r="A65" s="12"/>
      <c r="B65" s="71"/>
      <c r="C65" s="8"/>
      <c r="D65" s="77" t="s">
        <v>211</v>
      </c>
      <c r="E65" s="70">
        <v>0</v>
      </c>
      <c r="F65" s="160">
        <v>0</v>
      </c>
      <c r="G65" s="70">
        <v>0</v>
      </c>
      <c r="H65" s="160">
        <v>0</v>
      </c>
      <c r="I65" s="70">
        <v>0</v>
      </c>
      <c r="J65" s="160">
        <v>0</v>
      </c>
      <c r="K65" s="70">
        <v>0</v>
      </c>
      <c r="L65" s="160">
        <v>0</v>
      </c>
      <c r="M65" s="70">
        <v>0</v>
      </c>
      <c r="N65" s="160">
        <v>0</v>
      </c>
      <c r="O65" s="13">
        <f>IF(NOT(ISERROR(SUM(E65,G65,I65,K65,M65))),SUM(E65,G65,I65,K65,M65),IF(NOT(ISERROR(SUM(E65,G65,I65,K65))),SUM(E65,G65,I65,K65),IF(NOT(ISERROR(SUM(E65,G65,I65))),SUM(E65,G65,I65),IF(NOT(ISERROR(SUM(E65,G65))),SUM(E65,G65),E65))))</f>
        <v>0</v>
      </c>
      <c r="P65" s="166">
        <f>IF(NOT(ISERROR(SUM(F65,H65,J65,L65,N65))),SUM(F65,H65,J65,L65,N65),IF(NOT(ISERROR(SUM(F65,H65,J65,L65))),SUM(F65,H65,J65,L65),IF(NOT(ISERROR(SUM(F65,H65,J65))),SUM(F65,H65,J65),IF(NOT(ISERROR(SUM(F65,H65))),SUM(F65,H65),F65))))</f>
        <v>0</v>
      </c>
      <c r="Q65" s="148"/>
      <c r="R65" s="86" t="s">
        <v>114</v>
      </c>
      <c r="S65" s="228" t="str">
        <f>IF(O65=0,"",IF(P65=0,0,P65/$O$86))</f>
        <v/>
      </c>
      <c r="T65" s="228"/>
      <c r="U65" s="25"/>
      <c r="V65" s="144"/>
      <c r="W65" s="144"/>
      <c r="X65" s="144"/>
      <c r="Y65" s="25"/>
      <c r="Z65" s="25"/>
      <c r="AA65" s="25"/>
      <c r="AB65" s="25"/>
    </row>
    <row r="66" spans="1:28" outlineLevel="1" x14ac:dyDescent="0.25">
      <c r="A66" s="12"/>
      <c r="B66" s="71"/>
      <c r="D66" s="67" t="s">
        <v>150</v>
      </c>
      <c r="E66" s="78">
        <f>IF(E65=0,0,IF(E65&gt;25000,(E65-25000),IF(E65&lt;=25000,0)))</f>
        <v>0</v>
      </c>
      <c r="F66" s="160"/>
      <c r="G66" s="78">
        <f>IF(G65=0,0,IF(E65&gt;25000,G65,IF(E65&lt;=25000,IF(E65+G65&lt;=25000,0,IF(E65+G65&gt;25000,E65+G65-25000)))))</f>
        <v>0</v>
      </c>
      <c r="H66" s="160"/>
      <c r="I66" s="78">
        <f>IF(I65=0,0,IF(E65+G65&gt;25000,I65,IF(E65+G65&lt;=25000,IF(E65+G65+I65&lt;=25000,0,IF(E65+G65+I65&gt;25000,E65+G65+I65-25000)))))</f>
        <v>0</v>
      </c>
      <c r="J66" s="160"/>
      <c r="K66" s="78">
        <f>IF(K65=0,0,IF(E65+G65+I65&gt;25000,K65,IF(E65+G65+I65&lt;=25000,IF(E65+G65+I65+K65&lt;=25000,0,IF(E65+G65+I65+K65&gt;25000,E65+G65+I65+K65-25000)))))</f>
        <v>0</v>
      </c>
      <c r="L66" s="160"/>
      <c r="M66" s="78">
        <f>IF(M65=0,0,IF(E65+G65+I65+K65&gt;25000,M65,IF(E65+G65+I65+K65&lt;=25000,IF(E65+G65+I65+K65+M65&lt;=25000,0,IF(E65+G65+I65+K65+M65&gt;25000,E65+G65+I65+K65+M65-25000)))))</f>
        <v>0</v>
      </c>
      <c r="N66" s="160"/>
      <c r="O66" s="13"/>
      <c r="P66" s="166"/>
      <c r="Q66" s="151"/>
      <c r="R66" s="86"/>
      <c r="S66" s="42" t="s">
        <v>151</v>
      </c>
      <c r="U66" s="67"/>
      <c r="V66" s="144"/>
      <c r="W66" s="144"/>
      <c r="X66" s="144"/>
      <c r="Y66" s="25"/>
      <c r="Z66" s="25"/>
      <c r="AA66" s="25"/>
      <c r="AB66" s="25"/>
    </row>
    <row r="67" spans="1:28" x14ac:dyDescent="0.25">
      <c r="A67" s="74"/>
      <c r="B67" s="75"/>
      <c r="C67" s="91" t="s">
        <v>182</v>
      </c>
      <c r="D67" s="76"/>
      <c r="E67" s="18">
        <f>SUM(E48:E57,E59,E61,E63,E65)</f>
        <v>0</v>
      </c>
      <c r="F67" s="177">
        <f>SUM(F48:F66)</f>
        <v>0</v>
      </c>
      <c r="G67" s="18">
        <f>SUM(G48:G57,G59,G61,G63,G65)</f>
        <v>0</v>
      </c>
      <c r="H67" s="177">
        <f>SUM(H48:H66)</f>
        <v>0</v>
      </c>
      <c r="I67" s="18">
        <f>SUM(I48:I57,I59,I61,I63,I65)</f>
        <v>0</v>
      </c>
      <c r="J67" s="177">
        <f>SUM(J48:J66)</f>
        <v>0</v>
      </c>
      <c r="K67" s="18">
        <f>SUM(K48:K57,K59,K61,K63,K65)</f>
        <v>0</v>
      </c>
      <c r="L67" s="177">
        <f>SUM(L48:L66)</f>
        <v>0</v>
      </c>
      <c r="M67" s="18">
        <f>SUM(M48:M57,M59,M61,M63,M65)</f>
        <v>0</v>
      </c>
      <c r="N67" s="177">
        <f>SUM(N48:N66)</f>
        <v>0</v>
      </c>
      <c r="O67" s="17">
        <f>IF(NOT(ISERROR(SUM(E67,G67,I67,K67,M67))),SUM(E67,G67,I67,K67,M67),IF(NOT(ISERROR(SUM(E67,G67,I67,K67))),SUM(E67,G67,I67,K67),IF(NOT(ISERROR(SUM(E67,G67,I67))),SUM(E67,G67,I67),IF(NOT(ISERROR(SUM(E67,G67))),SUM(E67,G67),E67))))</f>
        <v>0</v>
      </c>
      <c r="P67" s="178">
        <f>IF(NOT(ISERROR(SUM(F67,H67,J67,L67,N67))),SUM(F67,H67,J67,L67,N67),IF(NOT(ISERROR(SUM(F67,H67,J67,L67))),SUM(F67,H67,J67,L67),IF(NOT(ISERROR(SUM(F67,H67,J67))),SUM(F67,H67,J67),IF(NOT(ISERROR(SUM(F67,H67))),SUM(F67,H67),F67))))</f>
        <v>0</v>
      </c>
      <c r="Q67" s="150"/>
      <c r="R67" s="112"/>
      <c r="T67" s="8"/>
      <c r="U67" s="25"/>
      <c r="V67" s="144"/>
      <c r="W67" s="144"/>
      <c r="X67" s="144"/>
      <c r="Y67" s="25"/>
      <c r="Z67" s="25"/>
      <c r="AA67" s="25"/>
      <c r="AB67" s="25"/>
    </row>
    <row r="68" spans="1:28" x14ac:dyDescent="0.25">
      <c r="A68" s="12"/>
      <c r="B68" s="8"/>
      <c r="C68" s="8"/>
      <c r="D68" s="8"/>
      <c r="E68" s="8"/>
      <c r="F68" s="177"/>
      <c r="G68" s="8"/>
      <c r="H68" s="160"/>
      <c r="I68" s="8"/>
      <c r="J68" s="160"/>
      <c r="K68" s="8"/>
      <c r="L68" s="160"/>
      <c r="M68" s="8"/>
      <c r="N68" s="160"/>
      <c r="O68" s="13"/>
      <c r="P68" s="166"/>
      <c r="Q68" s="151"/>
      <c r="R68" s="86"/>
      <c r="T68" s="8"/>
    </row>
    <row r="69" spans="1:28" x14ac:dyDescent="0.25">
      <c r="A69" s="175" t="s">
        <v>14</v>
      </c>
      <c r="B69" s="8" t="s">
        <v>175</v>
      </c>
      <c r="C69" s="8"/>
      <c r="D69" s="8"/>
      <c r="E69" s="92">
        <f t="shared" ref="E69:N69" si="18">E35+E45+E67+E40</f>
        <v>0</v>
      </c>
      <c r="F69" s="180">
        <f t="shared" si="18"/>
        <v>0</v>
      </c>
      <c r="G69" s="92">
        <f t="shared" si="18"/>
        <v>0</v>
      </c>
      <c r="H69" s="180">
        <f t="shared" si="18"/>
        <v>0</v>
      </c>
      <c r="I69" s="92">
        <f t="shared" si="18"/>
        <v>0</v>
      </c>
      <c r="J69" s="180">
        <f t="shared" si="18"/>
        <v>0</v>
      </c>
      <c r="K69" s="92">
        <f t="shared" si="18"/>
        <v>0</v>
      </c>
      <c r="L69" s="180">
        <f t="shared" si="18"/>
        <v>0</v>
      </c>
      <c r="M69" s="92">
        <f t="shared" si="18"/>
        <v>0</v>
      </c>
      <c r="N69" s="180">
        <f t="shared" si="18"/>
        <v>0</v>
      </c>
      <c r="O69" s="123">
        <f>IF(NOT(ISERROR(SUM(E69,G69,I69,K69,M69))),SUM(E69,G69,I69,K69,M69),IF(NOT(ISERROR(SUM(E69,G69,I69,K69))),SUM(E69,G69,I69,K69),IF(NOT(ISERROR(SUM(E69,G69,I69))),SUM(E69,G69,I69),IF(NOT(ISERROR(SUM(E69,G69))),SUM(E69,G69),E69))))</f>
        <v>0</v>
      </c>
      <c r="P69" s="181">
        <f>IF(NOT(ISERROR(SUM(F69,H69,J69,L69,N69))),SUM(F69,H69,J69,L69,N69),IF(NOT(ISERROR(SUM(F69,H69,J69,L69))),SUM(F69,H69,J69,L69),IF(NOT(ISERROR(SUM(F69,H69,J69))),SUM(F69,H69,J69),IF(NOT(ISERROR(SUM(F69,H69))),SUM(F69,H69),F69))))</f>
        <v>0</v>
      </c>
      <c r="Q69" s="151"/>
      <c r="R69" s="86"/>
    </row>
    <row r="70" spans="1:28" x14ac:dyDescent="0.25">
      <c r="A70" s="12"/>
      <c r="B70" s="8"/>
      <c r="C70" s="8"/>
      <c r="D70" s="8"/>
      <c r="E70" s="70"/>
      <c r="F70" s="177"/>
      <c r="G70" s="70"/>
      <c r="H70" s="177"/>
      <c r="I70" s="70"/>
      <c r="J70" s="177"/>
      <c r="K70" s="70"/>
      <c r="L70" s="177"/>
      <c r="M70" s="70"/>
      <c r="N70" s="177"/>
      <c r="O70" s="123"/>
      <c r="P70" s="178"/>
      <c r="Q70" s="151"/>
      <c r="R70" s="86"/>
    </row>
    <row r="71" spans="1:28" x14ac:dyDescent="0.25">
      <c r="A71" s="175"/>
      <c r="B71" s="8" t="s">
        <v>174</v>
      </c>
      <c r="C71" s="8"/>
      <c r="D71" s="8"/>
      <c r="E71" s="70">
        <f>(E69-E24-E26-E28-E58-E64-E66-E60-E62-E45)</f>
        <v>0</v>
      </c>
      <c r="F71" s="177">
        <f>F69-F24-F26-F28-F54-F55-F56-F57-F59-F61-F63-F65-F45</f>
        <v>0</v>
      </c>
      <c r="G71" s="70">
        <f>(G69-G24-G26-G28-G58-G64-G66-G60-G62-G45)</f>
        <v>0</v>
      </c>
      <c r="H71" s="177">
        <f>H69-H24-H26-H28-H54-H55-H56-H57-H59-H61-H63-H65-H45</f>
        <v>0</v>
      </c>
      <c r="I71" s="70">
        <f>(I69-I24-I26-I28-I58-I64-I66-I60-I62-I45)</f>
        <v>0</v>
      </c>
      <c r="J71" s="177">
        <f>J69-J24-J26-J28-J54-J55-J56-J57-J59-J61-J63-J65-J45</f>
        <v>0</v>
      </c>
      <c r="K71" s="70">
        <f>(K69-K24-K26-K28-K58-K64-K66-K60-K62-K45)</f>
        <v>0</v>
      </c>
      <c r="L71" s="177">
        <f>L69-L24-L26-L28-L54-L55-L56-L57-L59-L61-L63-L65-L45</f>
        <v>0</v>
      </c>
      <c r="M71" s="70">
        <f>(M69-M24-M26-M28-M58-M64-M66-M60-M62-M45)</f>
        <v>0</v>
      </c>
      <c r="N71" s="177">
        <f>N69-N24-N26-N28-N54-N55-N56-N57-N59-N61-N63-N65-N45</f>
        <v>0</v>
      </c>
      <c r="O71" s="13">
        <f>IF(NOT(ISERROR(SUM(E71,G71,I71,K71,M71))),SUM(E71,G71,I71,K71,M71),IF(NOT(ISERROR(SUM(E71,G71,I71,K71))),SUM(E71,G71,I71,K71),IF(NOT(ISERROR(SUM(E71,G71,I71))),SUM(E71,G71,I71),IF(NOT(ISERROR(SUM(E71,G71))),SUM(E71,G71),E71))))</f>
        <v>0</v>
      </c>
      <c r="P71" s="178">
        <f>IF(NOT(ISERROR(SUM(F71,H71,J71,L71,N71))),SUM(F71,H71,J71,L71,N71),IF(NOT(ISERROR(SUM(F71,H71,J71,L71))),SUM(F71,H71,J71,L71),IF(NOT(ISERROR(SUM(F71,H71,J71))),SUM(F71,H71,J71),IF(NOT(ISERROR(SUM(F71,H71))),SUM(F71,H71),F71))))</f>
        <v>0</v>
      </c>
      <c r="Q71" s="151"/>
      <c r="R71" s="86"/>
    </row>
    <row r="72" spans="1:28" x14ac:dyDescent="0.25">
      <c r="A72" s="65"/>
      <c r="B72" s="8"/>
      <c r="C72" s="8"/>
      <c r="D72" s="8"/>
      <c r="E72" s="8"/>
      <c r="F72" s="177"/>
      <c r="G72" s="8"/>
      <c r="H72" s="177"/>
      <c r="I72" s="8"/>
      <c r="J72" s="177"/>
      <c r="K72" s="8"/>
      <c r="L72" s="177"/>
      <c r="M72" s="8"/>
      <c r="N72" s="177"/>
      <c r="O72" s="13"/>
      <c r="P72" s="178"/>
      <c r="Q72" s="151"/>
      <c r="R72" s="86"/>
    </row>
    <row r="73" spans="1:28" x14ac:dyDescent="0.25">
      <c r="A73" s="175" t="s">
        <v>15</v>
      </c>
      <c r="B73" s="8" t="s">
        <v>176</v>
      </c>
      <c r="C73" s="8"/>
      <c r="D73" s="8"/>
      <c r="E73" s="70"/>
      <c r="F73" s="177"/>
      <c r="G73" s="70"/>
      <c r="H73" s="177"/>
      <c r="I73" s="70"/>
      <c r="J73" s="177"/>
      <c r="K73" s="70"/>
      <c r="L73" s="177"/>
      <c r="M73" s="70"/>
      <c r="N73" s="177"/>
      <c r="O73" s="13"/>
      <c r="P73" s="178"/>
      <c r="Q73" s="151"/>
      <c r="R73" s="86"/>
    </row>
    <row r="74" spans="1:28" x14ac:dyDescent="0.25">
      <c r="A74" s="12"/>
      <c r="B74" s="8"/>
      <c r="C74" s="77" t="s">
        <v>216</v>
      </c>
      <c r="D74" s="79">
        <f>VLOOKUP(C74,Table39[],2,FALSE)</f>
        <v>0.51500000000000001</v>
      </c>
      <c r="E74" s="92">
        <f>E71*$D$74</f>
        <v>0</v>
      </c>
      <c r="F74" s="180">
        <f t="shared" ref="F74:N74" si="19">F71*$D$74</f>
        <v>0</v>
      </c>
      <c r="G74" s="92">
        <f t="shared" si="19"/>
        <v>0</v>
      </c>
      <c r="H74" s="180">
        <f t="shared" si="19"/>
        <v>0</v>
      </c>
      <c r="I74" s="92">
        <f t="shared" si="19"/>
        <v>0</v>
      </c>
      <c r="J74" s="180">
        <f t="shared" si="19"/>
        <v>0</v>
      </c>
      <c r="K74" s="92">
        <f t="shared" si="19"/>
        <v>0</v>
      </c>
      <c r="L74" s="180">
        <f t="shared" si="19"/>
        <v>0</v>
      </c>
      <c r="M74" s="92">
        <f t="shared" si="19"/>
        <v>0</v>
      </c>
      <c r="N74" s="180">
        <f t="shared" si="19"/>
        <v>0</v>
      </c>
      <c r="O74" s="123">
        <f>IF(NOT(ISERROR(SUM(E74,G74,I74,K74,M74))),SUM(E74,G74,I74,K74,M74),IF(NOT(ISERROR(SUM(E74,G74,I74,K74))),SUM(E74,G74,I74,K74),IF(NOT(ISERROR(SUM(E74,G74,I74))),SUM(E74,G74,I74),IF(NOT(ISERROR(SUM(E74,G74))),SUM(E74,G74),E74))))</f>
        <v>0</v>
      </c>
      <c r="P74" s="181">
        <f>IF(NOT(ISERROR(SUM(F74,H74,J74,L74,N74))),SUM(F74,H74,J74,L74,N74),IF(NOT(ISERROR(SUM(F74,H74,J74,L74))),SUM(F74,H74,J74,L74),IF(NOT(ISERROR(SUM(F74,H74,J74))),SUM(F74,H74,J74),IF(NOT(ISERROR(SUM(F74,H74))),SUM(F74,H74),F74))))</f>
        <v>0</v>
      </c>
      <c r="Q74" s="148" t="s">
        <v>203</v>
      </c>
      <c r="R74" s="86" t="s">
        <v>116</v>
      </c>
    </row>
    <row r="75" spans="1:28" x14ac:dyDescent="0.25">
      <c r="A75" s="12"/>
      <c r="C75" s="88" t="s">
        <v>173</v>
      </c>
      <c r="D75" s="80"/>
      <c r="E75" s="70"/>
      <c r="F75" s="177"/>
      <c r="G75" s="70"/>
      <c r="H75" s="160"/>
      <c r="I75" s="70"/>
      <c r="J75" s="160"/>
      <c r="K75" s="70"/>
      <c r="L75" s="160"/>
      <c r="M75" s="70"/>
      <c r="N75" s="160"/>
      <c r="O75" s="123"/>
      <c r="P75" s="178"/>
      <c r="Q75" s="151"/>
      <c r="R75" s="86"/>
    </row>
    <row r="76" spans="1:28" x14ac:dyDescent="0.25">
      <c r="A76" s="81" t="s">
        <v>99</v>
      </c>
      <c r="B76" s="82" t="s">
        <v>177</v>
      </c>
      <c r="C76" s="82"/>
      <c r="D76" s="82"/>
      <c r="E76" s="83">
        <f>E74+E69</f>
        <v>0</v>
      </c>
      <c r="F76" s="186">
        <f>F74+F69</f>
        <v>0</v>
      </c>
      <c r="G76" s="83">
        <f t="shared" ref="G76:M76" si="20">G74+G69</f>
        <v>0</v>
      </c>
      <c r="H76" s="186">
        <f>H74+H69</f>
        <v>0</v>
      </c>
      <c r="I76" s="83">
        <f t="shared" si="20"/>
        <v>0</v>
      </c>
      <c r="J76" s="186">
        <f>J74+J69</f>
        <v>0</v>
      </c>
      <c r="K76" s="83">
        <f t="shared" si="20"/>
        <v>0</v>
      </c>
      <c r="L76" s="186">
        <f>L74+L69</f>
        <v>0</v>
      </c>
      <c r="M76" s="83">
        <f t="shared" si="20"/>
        <v>0</v>
      </c>
      <c r="N76" s="186">
        <f>N74+N69</f>
        <v>0</v>
      </c>
      <c r="O76" s="19">
        <f>IF(NOT(ISERROR(SUM(E76,G76,I76,K76,M76))),SUM(E76,G76,I76,K76,M76),IF(NOT(ISERROR(SUM(E76,G76,I76,K76))),SUM(E76,G76,I76,K76),IF(NOT(ISERROR(SUM(E76,G76,I76))),SUM(E76,G76,I76),IF(NOT(ISERROR(SUM(E76,G76))),SUM(E76,G76),E76))))</f>
        <v>0</v>
      </c>
      <c r="P76" s="188">
        <f>P74+P69</f>
        <v>0</v>
      </c>
      <c r="Q76" s="151"/>
      <c r="R76" s="86"/>
    </row>
    <row r="77" spans="1:28" x14ac:dyDescent="0.25">
      <c r="A77" s="81"/>
      <c r="B77" s="82"/>
      <c r="C77" s="82"/>
      <c r="D77" s="82"/>
      <c r="E77" s="83"/>
      <c r="F77" s="160"/>
      <c r="G77" s="83"/>
      <c r="H77" s="160"/>
      <c r="I77" s="83"/>
      <c r="J77" s="160"/>
      <c r="K77" s="83"/>
      <c r="L77" s="160"/>
      <c r="M77" s="83"/>
      <c r="N77" s="160"/>
      <c r="O77" s="19"/>
      <c r="P77" s="166"/>
      <c r="Q77" s="151"/>
      <c r="R77" s="86"/>
    </row>
    <row r="78" spans="1:28" ht="15" customHeight="1" outlineLevel="1" x14ac:dyDescent="0.25">
      <c r="A78" s="81"/>
      <c r="B78" s="82" t="s">
        <v>269</v>
      </c>
      <c r="C78" s="82"/>
      <c r="D78" s="82"/>
      <c r="E78" s="83"/>
      <c r="F78" s="160"/>
      <c r="G78" s="83"/>
      <c r="H78" s="160"/>
      <c r="I78" s="83"/>
      <c r="J78" s="160"/>
      <c r="K78" s="83"/>
      <c r="L78" s="160"/>
      <c r="M78" s="83"/>
      <c r="N78" s="160"/>
      <c r="O78" s="19"/>
      <c r="P78" s="166"/>
      <c r="Q78" s="151"/>
      <c r="R78" s="86"/>
    </row>
    <row r="79" spans="1:28" ht="15" customHeight="1" outlineLevel="1" x14ac:dyDescent="0.25">
      <c r="A79" s="81"/>
      <c r="B79" s="179" t="s">
        <v>5</v>
      </c>
      <c r="C79" s="194" t="s">
        <v>267</v>
      </c>
      <c r="D79" s="82"/>
      <c r="E79" s="70">
        <v>0</v>
      </c>
      <c r="F79" s="160"/>
      <c r="G79" s="70">
        <v>0</v>
      </c>
      <c r="H79" s="160"/>
      <c r="I79" s="70">
        <v>0</v>
      </c>
      <c r="J79" s="160"/>
      <c r="K79" s="70">
        <v>0</v>
      </c>
      <c r="L79" s="160"/>
      <c r="M79" s="70">
        <v>0</v>
      </c>
      <c r="N79" s="160"/>
      <c r="O79" s="13">
        <f>IF(NOT(ISERROR(SUM(E79,G79,I79,K79,M79))),SUM(E79,G79,I79,K79,M79),IF(NOT(ISERROR(SUM(E79,G79,I79,K79))),SUM(E79,G79,I79,K79),IF(NOT(ISERROR(SUM(E79,G79,I79))),SUM(E79,G79,I79),IF(NOT(ISERROR(SUM(E79,G79))),SUM(E79,G79),E79))))</f>
        <v>0</v>
      </c>
      <c r="P79" s="166"/>
      <c r="Q79" s="151"/>
      <c r="R79" s="86"/>
    </row>
    <row r="80" spans="1:28" ht="15" customHeight="1" outlineLevel="1" x14ac:dyDescent="0.25">
      <c r="A80" s="81"/>
      <c r="B80" s="179" t="s">
        <v>6</v>
      </c>
      <c r="C80" s="194" t="s">
        <v>268</v>
      </c>
      <c r="D80" s="82"/>
      <c r="E80" s="70">
        <v>0</v>
      </c>
      <c r="F80" s="160"/>
      <c r="G80" s="70">
        <v>0</v>
      </c>
      <c r="H80" s="160"/>
      <c r="I80" s="70">
        <v>0</v>
      </c>
      <c r="J80" s="160"/>
      <c r="K80" s="70">
        <v>0</v>
      </c>
      <c r="L80" s="160"/>
      <c r="M80" s="70">
        <v>0</v>
      </c>
      <c r="N80" s="160"/>
      <c r="O80" s="13">
        <f>IF(NOT(ISERROR(SUM(E80,G80,I80,K80,M80))),SUM(E80,G80,I80,K80,M80),IF(NOT(ISERROR(SUM(E80,G80,I80,K80))),SUM(E80,G80,I80,K80),IF(NOT(ISERROR(SUM(E80,G80,I80))),SUM(E80,G80,I80),IF(NOT(ISERROR(SUM(E80,G80))),SUM(E80,G80),E80))))</f>
        <v>0</v>
      </c>
      <c r="P80" s="166"/>
      <c r="Q80" s="151"/>
      <c r="R80" s="86"/>
    </row>
    <row r="81" spans="1:29" ht="15" customHeight="1" outlineLevel="1" x14ac:dyDescent="0.25">
      <c r="A81" s="182"/>
      <c r="B81" s="183"/>
      <c r="C81" s="91" t="s">
        <v>266</v>
      </c>
      <c r="D81" s="184"/>
      <c r="E81" s="185">
        <f>SUM(E79:E80)</f>
        <v>0</v>
      </c>
      <c r="F81" s="186"/>
      <c r="G81" s="185">
        <f>SUM(G79:G80)</f>
        <v>0</v>
      </c>
      <c r="H81" s="186"/>
      <c r="I81" s="185">
        <f>SUM(I79:I80)</f>
        <v>0</v>
      </c>
      <c r="J81" s="186"/>
      <c r="K81" s="185">
        <f>SUM(K79:K80)</f>
        <v>0</v>
      </c>
      <c r="L81" s="186"/>
      <c r="M81" s="185">
        <f>SUM(M79:M80)</f>
        <v>0</v>
      </c>
      <c r="N81" s="186"/>
      <c r="O81" s="187">
        <f>IF(NOT(ISERROR(SUM(E81,G81,I81,K81,M81))),SUM(E81,G81,I81,K81,M81),IF(NOT(ISERROR(SUM(E81,G81,I81,K81))),SUM(E81,G81,I81,K81),IF(NOT(ISERROR(SUM(E81,G81,I81))),SUM(E81,G81,I81),IF(NOT(ISERROR(SUM(E81,G81))),SUM(E81,G81),E81))))</f>
        <v>0</v>
      </c>
      <c r="P81" s="188"/>
      <c r="Q81" s="189"/>
      <c r="R81" s="190"/>
    </row>
    <row r="82" spans="1:29" s="193" customFormat="1" ht="15.6" outlineLevel="1" x14ac:dyDescent="0.3">
      <c r="A82" s="81"/>
      <c r="B82" s="82"/>
      <c r="C82" s="82"/>
      <c r="D82" s="82"/>
      <c r="E82" s="83"/>
      <c r="F82" s="160"/>
      <c r="G82" s="83"/>
      <c r="H82" s="160"/>
      <c r="I82" s="83"/>
      <c r="J82" s="160"/>
      <c r="K82" s="83"/>
      <c r="L82" s="160"/>
      <c r="M82" s="83"/>
      <c r="N82" s="160"/>
      <c r="O82" s="19"/>
      <c r="P82" s="166"/>
      <c r="Q82" s="151"/>
      <c r="R82" s="86"/>
      <c r="S82" s="191"/>
      <c r="T82" s="192"/>
      <c r="U82" s="191"/>
      <c r="V82" s="191"/>
      <c r="W82" s="191"/>
      <c r="X82" s="191"/>
      <c r="Y82" s="191"/>
      <c r="Z82" s="191"/>
      <c r="AA82" s="191"/>
      <c r="AB82" s="191"/>
      <c r="AC82" s="191"/>
    </row>
    <row r="83" spans="1:29" ht="15" customHeight="1" x14ac:dyDescent="0.25">
      <c r="A83" s="116" t="s">
        <v>147</v>
      </c>
      <c r="B83" s="82" t="s">
        <v>148</v>
      </c>
      <c r="C83" s="84"/>
      <c r="D83"/>
      <c r="E83" s="83"/>
      <c r="F83" s="164">
        <f>SUM(F69,F74)</f>
        <v>0</v>
      </c>
      <c r="G83" s="162"/>
      <c r="H83" s="164">
        <f>SUM(H69,H74)</f>
        <v>0</v>
      </c>
      <c r="I83" s="162"/>
      <c r="J83" s="164">
        <f>SUM(J69,J74)</f>
        <v>0</v>
      </c>
      <c r="K83" s="162"/>
      <c r="L83" s="164">
        <f>SUM(L69,L74)</f>
        <v>0</v>
      </c>
      <c r="M83" s="162"/>
      <c r="N83" s="164">
        <f>SUM(N69,N74)</f>
        <v>0</v>
      </c>
      <c r="O83" s="163"/>
      <c r="P83" s="167">
        <f>IF(NOT(ISERROR(SUM(F83,H83,J83,L83,N83))),SUM(F83,H83,J83,L83,N83),IF(NOT(ISERROR(SUM(F83,H83,J83,L83))),SUM(F83,H83,J83,L83),IF(NOT(ISERROR(SUM(F83,H83,J83))),SUM(F83,H83,J83),IF(NOT(ISERROR(SUM(F83,H83))),SUM(F83,H83),F83))))</f>
        <v>0</v>
      </c>
      <c r="Q83" s="152"/>
      <c r="R83" s="86"/>
    </row>
    <row r="84" spans="1:29" s="20" customFormat="1" ht="15" customHeight="1" x14ac:dyDescent="0.25">
      <c r="A84" s="117"/>
      <c r="B84" s="85"/>
      <c r="C84" s="85"/>
      <c r="D84" s="85"/>
      <c r="E84" s="236" t="e">
        <f>F83/E86</f>
        <v>#DIV/0!</v>
      </c>
      <c r="F84" s="237"/>
      <c r="G84" s="236" t="e">
        <f>H83/G86</f>
        <v>#DIV/0!</v>
      </c>
      <c r="H84" s="237"/>
      <c r="I84" s="236" t="e">
        <f>J83/I86</f>
        <v>#DIV/0!</v>
      </c>
      <c r="J84" s="237"/>
      <c r="K84" s="241" t="e">
        <f>L83/K86</f>
        <v>#DIV/0!</v>
      </c>
      <c r="L84" s="237"/>
      <c r="M84" s="241" t="e">
        <f>N83/M86</f>
        <v>#DIV/0!</v>
      </c>
      <c r="N84" s="243"/>
      <c r="O84" s="245" t="e">
        <f>P83/O86</f>
        <v>#DIV/0!</v>
      </c>
      <c r="P84" s="243"/>
      <c r="Q84" s="126"/>
      <c r="R84" s="8"/>
      <c r="S84" s="9"/>
      <c r="T84" s="67" t="s">
        <v>257</v>
      </c>
      <c r="U84" s="172">
        <v>0.2</v>
      </c>
      <c r="V84" s="9"/>
      <c r="W84" s="9"/>
      <c r="X84" s="9"/>
      <c r="Y84" s="9"/>
      <c r="Z84" s="9"/>
      <c r="AA84" s="9"/>
      <c r="AB84" s="9"/>
      <c r="AC84" s="9"/>
    </row>
    <row r="85" spans="1:29" ht="15" customHeight="1" x14ac:dyDescent="0.25">
      <c r="A85" s="117"/>
      <c r="B85" s="85"/>
      <c r="C85" s="85"/>
      <c r="D85" s="85"/>
      <c r="E85" s="126"/>
      <c r="F85" s="142"/>
      <c r="G85" s="126"/>
      <c r="H85" s="142"/>
      <c r="I85" s="126"/>
      <c r="J85" s="142"/>
      <c r="K85" s="126"/>
      <c r="L85" s="142"/>
      <c r="M85" s="126"/>
      <c r="N85" s="124"/>
      <c r="O85" s="125"/>
      <c r="P85" s="124"/>
      <c r="Q85" s="126"/>
      <c r="U85" s="67" t="s">
        <v>256</v>
      </c>
      <c r="AC85" s="10"/>
    </row>
    <row r="86" spans="1:29" ht="15" customHeight="1" x14ac:dyDescent="0.25">
      <c r="A86" s="118" t="s">
        <v>149</v>
      </c>
      <c r="B86" s="119" t="s">
        <v>188</v>
      </c>
      <c r="C86" s="119"/>
      <c r="D86" s="119"/>
      <c r="E86" s="234">
        <f>SUM(E76,E81,F83)</f>
        <v>0</v>
      </c>
      <c r="F86" s="235"/>
      <c r="G86" s="234">
        <f>SUM(G76,G81,H83)</f>
        <v>0</v>
      </c>
      <c r="H86" s="235"/>
      <c r="I86" s="234">
        <f>SUM(I76,I81,J83)</f>
        <v>0</v>
      </c>
      <c r="J86" s="235"/>
      <c r="K86" s="242">
        <f>SUM(K76,K81,L83)</f>
        <v>0</v>
      </c>
      <c r="L86" s="235"/>
      <c r="M86" s="242">
        <f>SUM(M76,M81,N83)</f>
        <v>0</v>
      </c>
      <c r="N86" s="244"/>
      <c r="O86" s="246">
        <f>SUM(E86:N86)</f>
        <v>0</v>
      </c>
      <c r="P86" s="244"/>
      <c r="Q86" s="153"/>
      <c r="T86" s="145" t="s">
        <v>0</v>
      </c>
      <c r="U86" s="154">
        <f>SUM(E$76,E$81)/(1-$U$84)-SUM(E$76,E$81)</f>
        <v>0</v>
      </c>
      <c r="AC86" s="10"/>
    </row>
    <row r="87" spans="1:29" ht="15" customHeight="1" x14ac:dyDescent="0.25">
      <c r="E87" s="229" t="str">
        <f>E3</f>
        <v>Year 1</v>
      </c>
      <c r="F87" s="229"/>
      <c r="G87" s="239" t="str">
        <f>G3</f>
        <v>Year 2</v>
      </c>
      <c r="H87" s="239"/>
      <c r="I87" s="239" t="str">
        <f>I3</f>
        <v>Year 3</v>
      </c>
      <c r="J87" s="239"/>
      <c r="K87" s="239" t="str">
        <f>K3</f>
        <v>Year 4</v>
      </c>
      <c r="L87" s="239"/>
      <c r="M87" s="239" t="str">
        <f>M3</f>
        <v>Year 5</v>
      </c>
      <c r="N87" s="239"/>
      <c r="O87" s="239" t="s">
        <v>3</v>
      </c>
      <c r="P87" s="239"/>
      <c r="Q87" s="146"/>
      <c r="T87" s="145" t="s">
        <v>1</v>
      </c>
      <c r="U87" s="154">
        <f>IFERROR(SUM(G$76,G$81)/(1-$U$84)-SUM(G$76,G$81),"")</f>
        <v>0</v>
      </c>
      <c r="AC87" s="10"/>
    </row>
    <row r="88" spans="1:29" ht="15" customHeight="1" x14ac:dyDescent="0.25">
      <c r="B88" s="156" t="s">
        <v>213</v>
      </c>
      <c r="D88" s="67" t="s">
        <v>205</v>
      </c>
      <c r="F88" s="70">
        <f>SUMIF($Q5:$Q53,"cash",$F5:$F53)</f>
        <v>0</v>
      </c>
      <c r="G88" s="70"/>
      <c r="H88" s="70">
        <f>SUMIF($Q5:$Q53,"cash",$H5:$H53)</f>
        <v>0</v>
      </c>
      <c r="I88" s="70"/>
      <c r="J88" s="70">
        <f>SUMIF($Q5:$Q53,"cash",$J5:$J53)</f>
        <v>0</v>
      </c>
      <c r="K88" s="70"/>
      <c r="L88" s="70">
        <f>SUMIF($Q5:$Q53,"cash",$L5:$L53)</f>
        <v>0</v>
      </c>
      <c r="M88" s="70"/>
      <c r="N88" s="70">
        <f>SUMIF($Q5:$Q53,"cash",$N5:$N53)</f>
        <v>0</v>
      </c>
      <c r="O88" s="70"/>
      <c r="P88" s="70">
        <f>SUM(F88:N88)</f>
        <v>0</v>
      </c>
      <c r="T88" s="145" t="s">
        <v>2</v>
      </c>
      <c r="U88" s="154">
        <f>IFERROR(SUM(I$76,I$81)/(1-$U$84)-SUM(I$76,I$81),"")</f>
        <v>0</v>
      </c>
      <c r="AC88" s="10"/>
    </row>
    <row r="89" spans="1:29" ht="15" customHeight="1" x14ac:dyDescent="0.25">
      <c r="D89" s="67" t="s">
        <v>206</v>
      </c>
      <c r="F89" s="70">
        <f>SUMIF($Q5:$Q53,"in kind",$F5:$F53)+F74</f>
        <v>0</v>
      </c>
      <c r="G89" s="70"/>
      <c r="H89" s="70">
        <f>SUMIF($Q5:$Q53,"in kind",$H5:$H53)+H74</f>
        <v>0</v>
      </c>
      <c r="I89" s="70"/>
      <c r="J89" s="70">
        <f>SUMIF($Q5:$Q53,"in kind",$J5:$J53)+J74</f>
        <v>0</v>
      </c>
      <c r="K89" s="70"/>
      <c r="L89" s="70">
        <f>SUMIF($Q5:$Q53,"in kind",$L5:$L53)+L74</f>
        <v>0</v>
      </c>
      <c r="M89" s="70"/>
      <c r="N89" s="70">
        <f>SUMIF($Q5:$Q53,"in kind",$N5:$N53)+N74</f>
        <v>0</v>
      </c>
      <c r="O89" s="70"/>
      <c r="P89" s="70">
        <f>SUM(F89:N89)</f>
        <v>0</v>
      </c>
      <c r="T89" s="145" t="s">
        <v>20</v>
      </c>
      <c r="U89" s="154">
        <f>IFERROR(SUM(K$76,K$81)/(1-$U$84)-SUM(K$76,K$81),"")</f>
        <v>0</v>
      </c>
    </row>
    <row r="90" spans="1:29" ht="15" customHeight="1" x14ac:dyDescent="0.25">
      <c r="D90" s="67" t="s">
        <v>209</v>
      </c>
      <c r="F90" s="70">
        <f ca="1">SUMIF($Q54:$Q66,"cash",$F54:$F66)+SUMIF($Q54:$Q66,"both",E96:E103)</f>
        <v>0</v>
      </c>
      <c r="G90" s="70"/>
      <c r="H90" s="70">
        <f ca="1">SUMIF($Q54:$Q66,"cash",$H54:$H66)+SUMIF($Q54:$Q66,"both",G96:G103)</f>
        <v>0</v>
      </c>
      <c r="J90" s="70">
        <f ca="1">SUMIF($Q54:$Q66,"cash",$J54:$J66)+SUMIF($Q54:$Q66,"both",I96:I103)</f>
        <v>0</v>
      </c>
      <c r="K90" s="70"/>
      <c r="L90" s="70">
        <f ca="1">SUMIF($Q54:$Q66,"cash",$L54:$L66)+SUMIF($Q54:$Q66,"both",K96:K103)</f>
        <v>0</v>
      </c>
      <c r="M90" s="70"/>
      <c r="N90" s="70">
        <f ca="1">SUMIF($Q54:$Q66,"cash",$N54:$N66)+SUMIF($Q54:$Q66,"both",M96:M103)</f>
        <v>0</v>
      </c>
      <c r="O90" s="70"/>
      <c r="P90" s="70">
        <f ca="1">SUM(F90:N90)</f>
        <v>0</v>
      </c>
      <c r="T90" s="145" t="s">
        <v>21</v>
      </c>
      <c r="U90" s="154">
        <f>IFERROR(SUM(M$76,M$81)/(1-$U$84)-SUM(M$76,M$81),"")</f>
        <v>0</v>
      </c>
    </row>
    <row r="91" spans="1:29" x14ac:dyDescent="0.25">
      <c r="D91" s="67" t="s">
        <v>210</v>
      </c>
      <c r="F91" s="70">
        <f ca="1">SUMIF($Q54:$Q66,"in kind",$F54:$F66)+SUMIF($Q54:$Q66,"both",F96:F103)</f>
        <v>0</v>
      </c>
      <c r="G91" s="70"/>
      <c r="H91" s="70">
        <f ca="1">SUMIF($Q54:$Q66,"in kind",$H54:$H66)+SUMIF($Q54:$Q66,"both",H96:H103)</f>
        <v>0</v>
      </c>
      <c r="I91" s="70"/>
      <c r="J91" s="70">
        <f ca="1">SUMIF($Q54:$Q66,"in kind",$J54:$J66)+SUMIF($Q54:$Q66,"both",J96:J103)</f>
        <v>0</v>
      </c>
      <c r="K91" s="70"/>
      <c r="L91" s="70">
        <f ca="1">SUMIF($Q54:$Q66,"in kind",$L54:$L66)+SUMIF($Q54:$Q66,"both",L96:L103)</f>
        <v>0</v>
      </c>
      <c r="M91" s="70"/>
      <c r="N91" s="70">
        <f ca="1">SUMIF($Q54:$Q66,"in kind",$N54:$N66)+SUMIF($Q54:$Q66,"both",N96:N103)</f>
        <v>0</v>
      </c>
      <c r="O91" s="70"/>
      <c r="P91" s="70">
        <f ca="1">SUM(F91:N91)</f>
        <v>0</v>
      </c>
    </row>
    <row r="92" spans="1:29" x14ac:dyDescent="0.25">
      <c r="D92" s="67" t="s">
        <v>204</v>
      </c>
      <c r="F92" s="70">
        <f ca="1">SUM(F88:F91)</f>
        <v>0</v>
      </c>
      <c r="G92" s="70"/>
      <c r="H92" s="70">
        <f t="shared" ref="H92:N92" ca="1" si="21">SUM(H88:H91)</f>
        <v>0</v>
      </c>
      <c r="I92" s="70"/>
      <c r="J92" s="70">
        <f t="shared" ca="1" si="21"/>
        <v>0</v>
      </c>
      <c r="K92" s="70"/>
      <c r="L92" s="70">
        <f t="shared" ca="1" si="21"/>
        <v>0</v>
      </c>
      <c r="M92" s="70"/>
      <c r="N92" s="70">
        <f t="shared" ca="1" si="21"/>
        <v>0</v>
      </c>
      <c r="O92" s="70"/>
      <c r="P92" s="70">
        <f ca="1">SUM(F92:N92)</f>
        <v>0</v>
      </c>
    </row>
    <row r="93" spans="1:29" x14ac:dyDescent="0.25">
      <c r="C93" s="8"/>
      <c r="F93" s="70"/>
      <c r="G93" s="70"/>
      <c r="H93" s="70"/>
      <c r="I93" s="70"/>
      <c r="J93" s="70"/>
      <c r="K93" s="70"/>
      <c r="L93" s="70"/>
      <c r="M93" s="70"/>
      <c r="N93" s="70"/>
      <c r="O93" s="70"/>
      <c r="P93" s="70"/>
    </row>
    <row r="94" spans="1:29" hidden="1" outlineLevel="2" x14ac:dyDescent="0.25">
      <c r="E94" s="229" t="s">
        <v>0</v>
      </c>
      <c r="F94" s="229"/>
      <c r="G94" s="229" t="s">
        <v>1</v>
      </c>
      <c r="H94" s="229"/>
      <c r="I94" s="229" t="s">
        <v>2</v>
      </c>
      <c r="J94" s="229"/>
      <c r="K94" s="229" t="s">
        <v>20</v>
      </c>
      <c r="L94" s="229"/>
      <c r="M94" s="229" t="s">
        <v>21</v>
      </c>
      <c r="N94" s="229"/>
      <c r="O94" s="229" t="s">
        <v>3</v>
      </c>
      <c r="P94" s="229"/>
    </row>
    <row r="95" spans="1:29" hidden="1" outlineLevel="2" x14ac:dyDescent="0.25">
      <c r="B95" s="156" t="s">
        <v>214</v>
      </c>
      <c r="D95" s="155"/>
      <c r="E95" s="67" t="s">
        <v>207</v>
      </c>
      <c r="F95" s="67" t="s">
        <v>208</v>
      </c>
      <c r="G95" s="67" t="s">
        <v>207</v>
      </c>
      <c r="H95" s="67" t="s">
        <v>208</v>
      </c>
      <c r="I95" s="67" t="s">
        <v>207</v>
      </c>
      <c r="J95" s="67" t="s">
        <v>208</v>
      </c>
      <c r="K95" s="67" t="s">
        <v>207</v>
      </c>
      <c r="L95" s="67" t="s">
        <v>208</v>
      </c>
      <c r="M95" s="67" t="s">
        <v>207</v>
      </c>
      <c r="N95" s="67" t="s">
        <v>208</v>
      </c>
      <c r="O95" s="67" t="s">
        <v>207</v>
      </c>
      <c r="P95" s="67" t="s">
        <v>208</v>
      </c>
      <c r="Q95" s="146"/>
    </row>
    <row r="96" spans="1:29" hidden="1" outlineLevel="2" x14ac:dyDescent="0.25">
      <c r="D96" s="67" t="str">
        <f>IF(D54&gt;0,D54,"")</f>
        <v>[3rd Party Institution]</v>
      </c>
      <c r="E96" s="154"/>
      <c r="F96" s="154"/>
      <c r="G96" s="154"/>
      <c r="H96" s="154"/>
      <c r="I96" s="154"/>
      <c r="J96" s="154"/>
      <c r="K96" s="154"/>
      <c r="L96" s="154"/>
      <c r="M96" s="154"/>
      <c r="N96" s="154"/>
      <c r="O96" s="154">
        <f t="shared" ref="O96:P103" si="22">IF(NOT(ISERROR(SUM(E96,G96,I96,K96,M96))),SUM(E96,G96,I96,K96,M96),IF(NOT(ISERROR(SUM(E96,G96,I96,K96))),SUM(E96,G96,I96,K96),IF(NOT(ISERROR(SUM(E96,G96,I96))),SUM(E96,G96,I96),IF(NOT(ISERROR(SUM(E96,G96))),SUM(E96,G96),E96))))</f>
        <v>0</v>
      </c>
      <c r="P96" s="154">
        <f t="shared" si="22"/>
        <v>0</v>
      </c>
      <c r="Q96" s="146"/>
    </row>
    <row r="97" spans="4:17" hidden="1" outlineLevel="2" x14ac:dyDescent="0.25">
      <c r="D97" s="67" t="str">
        <f t="shared" ref="D97:D99" si="23">IF(D55&gt;0,D55,"")</f>
        <v>[3rd Party Institution]</v>
      </c>
      <c r="E97" s="154"/>
      <c r="F97" s="154"/>
      <c r="G97" s="154"/>
      <c r="H97" s="154"/>
      <c r="I97" s="154"/>
      <c r="J97" s="154"/>
      <c r="K97" s="154"/>
      <c r="L97" s="154"/>
      <c r="M97" s="154"/>
      <c r="N97" s="154"/>
      <c r="O97" s="154">
        <f t="shared" si="22"/>
        <v>0</v>
      </c>
      <c r="P97" s="154">
        <f t="shared" si="22"/>
        <v>0</v>
      </c>
      <c r="Q97" s="146"/>
    </row>
    <row r="98" spans="4:17" hidden="1" outlineLevel="2" x14ac:dyDescent="0.25">
      <c r="D98" s="67" t="str">
        <f t="shared" si="23"/>
        <v>[3rd Party Institution]</v>
      </c>
      <c r="E98" s="154"/>
      <c r="F98" s="154"/>
      <c r="G98" s="154"/>
      <c r="H98" s="154"/>
      <c r="I98" s="154"/>
      <c r="J98" s="154"/>
      <c r="K98" s="154"/>
      <c r="L98" s="154"/>
      <c r="M98" s="154"/>
      <c r="N98" s="154"/>
      <c r="O98" s="154">
        <f t="shared" si="22"/>
        <v>0</v>
      </c>
      <c r="P98" s="154">
        <f t="shared" si="22"/>
        <v>0</v>
      </c>
      <c r="Q98" s="146"/>
    </row>
    <row r="99" spans="4:17" hidden="1" outlineLevel="2" x14ac:dyDescent="0.25">
      <c r="D99" s="67" t="str">
        <f t="shared" si="23"/>
        <v>[Subk Institution]</v>
      </c>
      <c r="E99" s="154"/>
      <c r="F99" s="154"/>
      <c r="G99" s="154"/>
      <c r="H99" s="154"/>
      <c r="I99" s="154"/>
      <c r="J99" s="154"/>
      <c r="K99" s="154"/>
      <c r="L99" s="154"/>
      <c r="M99" s="154"/>
      <c r="N99" s="154"/>
      <c r="O99" s="154">
        <f t="shared" si="22"/>
        <v>0</v>
      </c>
      <c r="P99" s="154">
        <f t="shared" si="22"/>
        <v>0</v>
      </c>
      <c r="Q99" s="146"/>
    </row>
    <row r="100" spans="4:17" hidden="1" outlineLevel="2" x14ac:dyDescent="0.25">
      <c r="D100" s="67" t="str">
        <f>IF(D59&gt;0,D59,"")</f>
        <v>[Subk Institution]</v>
      </c>
      <c r="E100" s="154"/>
      <c r="F100" s="154"/>
      <c r="G100" s="154"/>
      <c r="H100" s="154"/>
      <c r="I100" s="154"/>
      <c r="J100" s="154"/>
      <c r="K100" s="154"/>
      <c r="L100" s="154"/>
      <c r="M100" s="154"/>
      <c r="N100" s="154"/>
      <c r="O100" s="154">
        <f t="shared" si="22"/>
        <v>0</v>
      </c>
      <c r="P100" s="154">
        <f t="shared" si="22"/>
        <v>0</v>
      </c>
      <c r="Q100" s="146"/>
    </row>
    <row r="101" spans="4:17" hidden="1" outlineLevel="2" x14ac:dyDescent="0.25">
      <c r="D101" s="67" t="str">
        <f>IF(D61&gt;0,D61,"")</f>
        <v>[Subk Institution]</v>
      </c>
      <c r="E101" s="154"/>
      <c r="F101" s="154"/>
      <c r="G101" s="154"/>
      <c r="H101" s="154"/>
      <c r="I101" s="154"/>
      <c r="J101" s="154"/>
      <c r="K101" s="154"/>
      <c r="L101" s="154"/>
      <c r="M101" s="154"/>
      <c r="N101" s="154"/>
      <c r="O101" s="154">
        <f t="shared" si="22"/>
        <v>0</v>
      </c>
      <c r="P101" s="154">
        <f t="shared" si="22"/>
        <v>0</v>
      </c>
      <c r="Q101" s="146"/>
    </row>
    <row r="102" spans="4:17" hidden="1" outlineLevel="2" x14ac:dyDescent="0.25">
      <c r="D102" s="67" t="str">
        <f>IF(D63&gt;0,D63,"")</f>
        <v>[Subk Institution]</v>
      </c>
      <c r="E102" s="154"/>
      <c r="F102" s="154"/>
      <c r="G102" s="154"/>
      <c r="H102" s="154"/>
      <c r="I102" s="154"/>
      <c r="J102" s="154"/>
      <c r="K102" s="154"/>
      <c r="L102" s="154"/>
      <c r="M102" s="154"/>
      <c r="N102" s="154"/>
      <c r="O102" s="154">
        <f t="shared" si="22"/>
        <v>0</v>
      </c>
      <c r="P102" s="154">
        <f t="shared" si="22"/>
        <v>0</v>
      </c>
      <c r="Q102" s="146"/>
    </row>
    <row r="103" spans="4:17" hidden="1" outlineLevel="2" x14ac:dyDescent="0.25">
      <c r="D103" s="67" t="str">
        <f>IF(D65&gt;0,D65,"")</f>
        <v>[Subk Institution]</v>
      </c>
      <c r="E103" s="154"/>
      <c r="F103" s="154"/>
      <c r="G103" s="154"/>
      <c r="H103" s="154"/>
      <c r="I103" s="154"/>
      <c r="J103" s="154"/>
      <c r="K103" s="154"/>
      <c r="L103" s="154"/>
      <c r="M103" s="154"/>
      <c r="N103" s="154"/>
      <c r="O103" s="154">
        <f t="shared" si="22"/>
        <v>0</v>
      </c>
      <c r="P103" s="154">
        <f t="shared" si="22"/>
        <v>0</v>
      </c>
      <c r="Q103" s="146"/>
    </row>
    <row r="104" spans="4:17" collapsed="1" x14ac:dyDescent="0.25">
      <c r="D104" s="67"/>
      <c r="E104" s="154"/>
      <c r="F104" s="154"/>
      <c r="G104" s="154"/>
      <c r="H104" s="154"/>
      <c r="I104" s="154"/>
      <c r="J104" s="154"/>
      <c r="K104" s="154"/>
      <c r="L104" s="154"/>
      <c r="M104" s="154"/>
      <c r="N104" s="154"/>
      <c r="O104" s="154"/>
      <c r="P104" s="154"/>
      <c r="Q104" s="146"/>
    </row>
    <row r="105" spans="4:17" x14ac:dyDescent="0.25">
      <c r="D105" s="67"/>
      <c r="E105" s="154"/>
      <c r="F105" s="154"/>
      <c r="G105" s="154"/>
      <c r="H105" s="154"/>
      <c r="I105" s="154"/>
      <c r="J105" s="154"/>
      <c r="K105" s="154"/>
      <c r="L105" s="154"/>
      <c r="M105" s="154"/>
      <c r="N105" s="154"/>
      <c r="O105" s="154"/>
      <c r="P105" s="154"/>
      <c r="Q105" s="146"/>
    </row>
    <row r="106" spans="4:17" x14ac:dyDescent="0.25">
      <c r="D106" s="67"/>
      <c r="E106" s="154"/>
      <c r="F106" s="154"/>
      <c r="G106" s="154"/>
      <c r="H106" s="154"/>
      <c r="I106" s="154"/>
      <c r="J106" s="154"/>
      <c r="K106" s="154"/>
      <c r="L106" s="154"/>
      <c r="M106" s="154"/>
      <c r="N106" s="154"/>
      <c r="O106" s="154"/>
      <c r="P106" s="154"/>
      <c r="Q106" s="146"/>
    </row>
    <row r="107" spans="4:17" x14ac:dyDescent="0.25">
      <c r="D107" s="67"/>
      <c r="E107" s="154"/>
      <c r="F107" s="154"/>
      <c r="G107" s="154"/>
      <c r="H107" s="154"/>
      <c r="I107" s="154"/>
      <c r="J107" s="154"/>
      <c r="K107" s="154"/>
      <c r="L107" s="154"/>
      <c r="M107" s="154"/>
      <c r="N107" s="154"/>
      <c r="O107" s="154"/>
      <c r="P107" s="154"/>
      <c r="Q107" s="146"/>
    </row>
    <row r="108" spans="4:17" x14ac:dyDescent="0.25">
      <c r="D108" s="67"/>
      <c r="E108" s="67"/>
      <c r="F108" s="67"/>
      <c r="G108" s="67"/>
      <c r="H108" s="67"/>
      <c r="I108" s="67"/>
      <c r="J108" s="67"/>
      <c r="K108" s="67"/>
      <c r="L108" s="67"/>
      <c r="M108" s="67"/>
      <c r="N108" s="67"/>
      <c r="O108" s="67"/>
      <c r="P108" s="67"/>
      <c r="Q108" s="146"/>
    </row>
    <row r="109" spans="4:17" x14ac:dyDescent="0.25">
      <c r="D109" s="67"/>
      <c r="E109" s="67"/>
      <c r="F109" s="67"/>
      <c r="G109" s="67"/>
      <c r="H109" s="67"/>
      <c r="I109" s="67"/>
      <c r="J109" s="67"/>
      <c r="K109" s="67"/>
      <c r="L109" s="67"/>
      <c r="M109" s="67"/>
      <c r="N109" s="67"/>
      <c r="O109" s="67"/>
      <c r="P109" s="67"/>
      <c r="Q109" s="146"/>
    </row>
  </sheetData>
  <sheetProtection selectLockedCells="1"/>
  <dataConsolidate>
    <dataRefs count="1">
      <dataRef ref="A4:A19" sheet="GRA Stipend Table" r:id="rId1"/>
    </dataRefs>
  </dataConsolidate>
  <mergeCells count="40">
    <mergeCell ref="Q3:Q4"/>
    <mergeCell ref="O87:P87"/>
    <mergeCell ref="O3:P3"/>
    <mergeCell ref="R3:R4"/>
    <mergeCell ref="E87:F87"/>
    <mergeCell ref="G87:H87"/>
    <mergeCell ref="I87:J87"/>
    <mergeCell ref="K87:L87"/>
    <mergeCell ref="M87:N87"/>
    <mergeCell ref="K84:L84"/>
    <mergeCell ref="K86:L86"/>
    <mergeCell ref="M84:N84"/>
    <mergeCell ref="M86:N86"/>
    <mergeCell ref="O84:P84"/>
    <mergeCell ref="O86:P86"/>
    <mergeCell ref="E84:F84"/>
    <mergeCell ref="E86:F86"/>
    <mergeCell ref="G84:H84"/>
    <mergeCell ref="G86:H86"/>
    <mergeCell ref="I84:J84"/>
    <mergeCell ref="I86:J86"/>
    <mergeCell ref="E2:M2"/>
    <mergeCell ref="E3:F3"/>
    <mergeCell ref="G3:H3"/>
    <mergeCell ref="I3:J3"/>
    <mergeCell ref="M3:N3"/>
    <mergeCell ref="K3:L3"/>
    <mergeCell ref="O94:P94"/>
    <mergeCell ref="M94:N94"/>
    <mergeCell ref="K94:L94"/>
    <mergeCell ref="E94:F94"/>
    <mergeCell ref="G94:H94"/>
    <mergeCell ref="I94:J94"/>
    <mergeCell ref="S61:T61"/>
    <mergeCell ref="S63:T63"/>
    <mergeCell ref="S65:T65"/>
    <mergeCell ref="S55:T55"/>
    <mergeCell ref="S56:T56"/>
    <mergeCell ref="S57:T57"/>
    <mergeCell ref="S59:T59"/>
  </mergeCells>
  <phoneticPr fontId="0" type="noConversion"/>
  <conditionalFormatting sqref="W8:W12 Y8:Y14">
    <cfRule type="expression" dxfId="59" priority="81">
      <formula>SEARCH("Academic",$AA8:$AA12)=1</formula>
    </cfRule>
  </conditionalFormatting>
  <conditionalFormatting sqref="X8:X11 X13">
    <cfRule type="expression" dxfId="58" priority="80">
      <formula>SEARCH("Research",$AA8:$AA14)=1</formula>
    </cfRule>
  </conditionalFormatting>
  <conditionalFormatting sqref="X14 X12">
    <cfRule type="expression" dxfId="57" priority="91">
      <formula>SEARCH("Research",$AA12:$AA17)=1</formula>
    </cfRule>
  </conditionalFormatting>
  <conditionalFormatting sqref="U23:U27">
    <cfRule type="expression" dxfId="56" priority="68">
      <formula>ISNUMBER(SEARCH("Academic",AA8))</formula>
    </cfRule>
  </conditionalFormatting>
  <conditionalFormatting sqref="V54:X54">
    <cfRule type="expression" dxfId="55" priority="61">
      <formula>COUNTIF($Q54:$Q58,"both")=0</formula>
    </cfRule>
  </conditionalFormatting>
  <conditionalFormatting sqref="E100:N100">
    <cfRule type="expression" dxfId="54" priority="19">
      <formula>$Q$59="Both"</formula>
    </cfRule>
    <cfRule type="expression" dxfId="53" priority="58">
      <formula>$Q$59="Both"</formula>
    </cfRule>
  </conditionalFormatting>
  <conditionalFormatting sqref="E102:N102">
    <cfRule type="expression" dxfId="52" priority="57">
      <formula>$Q$63="Both"</formula>
    </cfRule>
  </conditionalFormatting>
  <conditionalFormatting sqref="E101:F103">
    <cfRule type="expression" dxfId="51" priority="54">
      <formula>SUM($E$101:$F$101)&lt;&gt;$F$61</formula>
    </cfRule>
  </conditionalFormatting>
  <conditionalFormatting sqref="E100:F100">
    <cfRule type="expression" dxfId="50" priority="52">
      <formula>SUM($E$100:$F$100)&lt;&gt;$F$59</formula>
    </cfRule>
  </conditionalFormatting>
  <conditionalFormatting sqref="G100:H100">
    <cfRule type="expression" dxfId="49" priority="50">
      <formula>SUM($G$100:$H$100)&lt;&gt;$H$59</formula>
    </cfRule>
  </conditionalFormatting>
  <conditionalFormatting sqref="G101:H103">
    <cfRule type="expression" dxfId="48" priority="49">
      <formula>SUM($G$101:$H$101)&lt;&gt;$H$61</formula>
    </cfRule>
  </conditionalFormatting>
  <conditionalFormatting sqref="F92">
    <cfRule type="expression" dxfId="47" priority="47">
      <formula>$F$92&lt;&gt;$F$83</formula>
    </cfRule>
  </conditionalFormatting>
  <conditionalFormatting sqref="H92">
    <cfRule type="expression" dxfId="46" priority="46">
      <formula>$H$92&lt;&gt;$H$83</formula>
    </cfRule>
  </conditionalFormatting>
  <conditionalFormatting sqref="J92">
    <cfRule type="expression" dxfId="45" priority="45">
      <formula>$J$92&lt;&gt;$J$83</formula>
    </cfRule>
  </conditionalFormatting>
  <conditionalFormatting sqref="L92">
    <cfRule type="expression" dxfId="44" priority="44">
      <formula>$L$92&lt;&gt;$L$83</formula>
    </cfRule>
  </conditionalFormatting>
  <conditionalFormatting sqref="N92">
    <cfRule type="expression" dxfId="43" priority="43">
      <formula>$N$92&lt;&gt;$N$83</formula>
    </cfRule>
  </conditionalFormatting>
  <conditionalFormatting sqref="P92">
    <cfRule type="expression" dxfId="42" priority="42">
      <formula>$P$92&lt;&gt;$P$83</formula>
    </cfRule>
  </conditionalFormatting>
  <conditionalFormatting sqref="I100:J100">
    <cfRule type="expression" dxfId="41" priority="40">
      <formula>SUM($I$100:$J$100)&lt;&gt;$J$59</formula>
    </cfRule>
  </conditionalFormatting>
  <conditionalFormatting sqref="I101:J103">
    <cfRule type="expression" dxfId="40" priority="39">
      <formula>SUM($I$101:$J$101&lt;&gt;$J$61)</formula>
    </cfRule>
  </conditionalFormatting>
  <conditionalFormatting sqref="K100:L100">
    <cfRule type="expression" dxfId="39" priority="36">
      <formula>SUM($K$100:$L$100)&lt;&gt;$L$59</formula>
    </cfRule>
  </conditionalFormatting>
  <conditionalFormatting sqref="K101:L103">
    <cfRule type="expression" dxfId="38" priority="35">
      <formula>SUM($K$101:$L$101)&lt;&gt;$L$61</formula>
    </cfRule>
  </conditionalFormatting>
  <conditionalFormatting sqref="M100:N100">
    <cfRule type="expression" dxfId="37" priority="34">
      <formula>SUM($M$100:$N$100)&lt;&gt;$N$59</formula>
    </cfRule>
  </conditionalFormatting>
  <conditionalFormatting sqref="M101:N103">
    <cfRule type="expression" dxfId="36" priority="33">
      <formula>SUM($M$101:$N$101)&lt;&gt;$N$61</formula>
    </cfRule>
  </conditionalFormatting>
  <conditionalFormatting sqref="E96:N96">
    <cfRule type="expression" dxfId="35" priority="23">
      <formula>$Q54="Both"</formula>
    </cfRule>
  </conditionalFormatting>
  <conditionalFormatting sqref="E97:N97">
    <cfRule type="expression" dxfId="34" priority="22">
      <formula>$Q$55="Both"</formula>
    </cfRule>
  </conditionalFormatting>
  <conditionalFormatting sqref="E98:N98">
    <cfRule type="expression" dxfId="33" priority="21">
      <formula>$Q$56="Both"</formula>
    </cfRule>
  </conditionalFormatting>
  <conditionalFormatting sqref="E99:N99">
    <cfRule type="expression" dxfId="32" priority="20">
      <formula>$Q$57="both"</formula>
    </cfRule>
  </conditionalFormatting>
  <conditionalFormatting sqref="Q17:Q28 Q31:Q32 Q41:Q44 Q68 Q72:Q74 Q46:Q62 Q5:Q14 Q36:Q39">
    <cfRule type="expression" dxfId="31" priority="12">
      <formula>$P5&gt;0</formula>
    </cfRule>
  </conditionalFormatting>
  <conditionalFormatting sqref="Q63:Q64">
    <cfRule type="expression" dxfId="30" priority="11">
      <formula>$P63&gt;0</formula>
    </cfRule>
  </conditionalFormatting>
  <conditionalFormatting sqref="Q65:Q66">
    <cfRule type="expression" dxfId="29" priority="10">
      <formula>$P65&gt;0</formula>
    </cfRule>
  </conditionalFormatting>
  <conditionalFormatting sqref="E101:N101">
    <cfRule type="expression" dxfId="28" priority="18">
      <formula>$Q$61="Both"</formula>
    </cfRule>
  </conditionalFormatting>
  <conditionalFormatting sqref="E103:N103">
    <cfRule type="expression" dxfId="27" priority="9">
      <formula>$Q$65="Both"</formula>
    </cfRule>
  </conditionalFormatting>
  <conditionalFormatting sqref="E96:F99">
    <cfRule type="expression" dxfId="26" priority="155">
      <formula>SUM($E96:$F96)&lt;&gt;$F54</formula>
    </cfRule>
  </conditionalFormatting>
  <conditionalFormatting sqref="G96:H99">
    <cfRule type="expression" dxfId="25" priority="156">
      <formula>SUM($G96:$H96)&lt;&gt;$H54</formula>
    </cfRule>
  </conditionalFormatting>
  <conditionalFormatting sqref="I96:J99">
    <cfRule type="expression" dxfId="24" priority="157">
      <formula>SUM($I96:$J96)&lt;&gt;$J54</formula>
    </cfRule>
  </conditionalFormatting>
  <conditionalFormatting sqref="K96:L99">
    <cfRule type="expression" dxfId="23" priority="158">
      <formula>SUM($K96:$L96)&lt;&gt;$L54</formula>
    </cfRule>
  </conditionalFormatting>
  <conditionalFormatting sqref="M96:N99">
    <cfRule type="expression" dxfId="22" priority="159">
      <formula>SUM($M96:$N96)&lt;&gt;$N54</formula>
    </cfRule>
  </conditionalFormatting>
  <conditionalFormatting sqref="T37:W46">
    <cfRule type="expression" dxfId="21" priority="168">
      <formula>$U$20="Yes"</formula>
    </cfRule>
  </conditionalFormatting>
  <conditionalFormatting sqref="T35:W46">
    <cfRule type="expression" dxfId="20" priority="169">
      <formula>$U$20="No"</formula>
    </cfRule>
  </conditionalFormatting>
  <conditionalFormatting sqref="U34">
    <cfRule type="expression" dxfId="19" priority="2">
      <formula>$N$19="No"</formula>
    </cfRule>
  </conditionalFormatting>
  <conditionalFormatting sqref="U34">
    <cfRule type="expression" dxfId="18" priority="1">
      <formula>$U$19="No"</formula>
    </cfRule>
  </conditionalFormatting>
  <hyperlinks>
    <hyperlink ref="U36" r:id="rId2" xr:uid="{810FBA64-558C-44B7-B2E6-08FA0931B733}"/>
    <hyperlink ref="U35" r:id="rId3" xr:uid="{87A9AB62-43C5-42C1-8432-4D3CF5F6B549}"/>
    <hyperlink ref="Y19" r:id="rId4" xr:uid="{8AD1B400-4D42-4B46-BBEE-50F37FF3D890}"/>
    <hyperlink ref="Y20" r:id="rId5" xr:uid="{AC9DA01C-E090-4BF5-95DD-FD82F2B9E095}"/>
    <hyperlink ref="U34" r:id="rId6" display="CY2022 Mileage (Fed $0.585/State $0.53)" xr:uid="{C6DC0E70-23AD-4105-98A8-0B38312FF641}"/>
  </hyperlinks>
  <printOptions horizontalCentered="1"/>
  <pageMargins left="0.25" right="0.25" top="0.25" bottom="0.25" header="0.25" footer="0.25"/>
  <pageSetup scale="87" fitToHeight="2" orientation="landscape" r:id="rId7"/>
  <headerFooter alignWithMargins="0"/>
  <ignoredErrors>
    <ignoredError sqref="M58 C32:E32 C42:E42 G58 G42 I58 I42 K58 K42 M42 E87:N87 D30 D33:N35 S24:S31 T27:T30 I3:P3 I4:K4 R41:R42 R45:R48 R53 O4:P4 R86:R87 R83:R84 C5:C14 AA2 Z3 Z4:AA4 O87:P87 Q20 R58 E58 R75:R76 R73 E62:Q62 E60:N60 P55:P56 O57:P60 E61 G61:P61 O96:Q101 D96:D101 E68:R70 E72:E76 E64:N66 E67 O64:Q64 O63:P63 S68:T68 O66:Q66 O65:P65 D102:R103 O50:P54 O49 O41:P48 R63:R67 S56:T56 S55 O33:P35 R32:R35 U46:W46 E45:N45 N44 L44 J44 H44 F44 D43 E83:P83 E81:P81 U6:AA6 U2:Y5 C17:C28 U23:U27 U16:V16 Q22 D5:D6 D29 AA15:AA17 S103:T104 F43 H43 J43 L43 N43 E71 E38 E40 G38 I38 K38 M38 O38 U91 U86:U90 D27:D28 D22:D26 D20:E20 D14:D18 D12 D10 D8 D7 D9 D11 D13 D19 D21 O91:Q91 M91 K91 I91 G91 O90:Q90 M90 K90 I90 G90 Q89 O88:Q88 M88 K88 I88 G88 F92:Q92 F91 F93:Q93 F88 H88 J88 L88 N88 F90 H90 J90 L90 N90 H91 J91 L91 N91 O79:O80 D74 Q24 G89 I89 K89 M89 O89:P89 F89 N89 L89 J89 H89 U17:V17 C31:D31 E14 E12 E10 E8 E6 E15:F15 E16:F18 F20 F19 E22:F22 F21 O20:P24 E31 E5 F31 G21 G19 E13 E11 E7 E9 M24 M23 I19 K19 M19 I21 K21 M21 G7 G9 G11 G13 G5 F14 F12 F10 F6:G6 F8 F5 F9 F7 F11 F13 E19 E21 K23 K24 I24 G24 E30:F30 F29 F25 F24 F27 F26 F28 F23 E23 G23 I23 S57:T66 V15 E29 E25 E27 E24 E28 E26" unlockedFormula="1"/>
    <ignoredError sqref="B43:B44 B5 B7 B9 B11 B13:B16 B19:B27 B57 B48:B54 R49:R52 B38:B39 B40 Q40 B79:B80 D40 D39 D38" numberStoredAsText="1"/>
    <ignoredError sqref="R57 R43:R44 R74 R59 R60:R61 R62 N38 L38 J38 H38 F38 E39:N39 P38 O39:P39 F40:P40" numberStoredAsText="1" unlockedFormula="1"/>
    <ignoredError sqref="L4:N4 R19:R31 R72 F67:Q67 S19:S23 R71 Q72:Q73 F75:Q75 F74:G74 P71:Q71 F72:P73 H74:P74 G76 I76 K76 M76 O76 P76 N76 L76 J76 H76 F76 M71 K71 I71 G71 O71 H71 J71 L71 N71 F71 Q6 Q14 Q12 Q10 Q8 S6:S18 R5:R18 Q26 Q28 N21 L21 J21 H21 H22:N22 G22 N19:P19 L19 J19 G20 G15 P6 P5 P8 P7 P10 P9 P12 P11 H17:P18 P13 P14:P15 H19 G16:G18 H20:N20 N23:N24 L23:L24 M27 M25 M28 M26 N31 L31 J31 H31 L30:N30 O30:P31 L29:P29 O32:P32 M32 K32 I32 G32 G31 I31 K31 M31 L26 N26:P26 L28 N28:P28 L25 N25:P25 L27 N27:P27 G8 G10 G12 G14 P16 J5 J7 J13 J11 J9 L5 N5 L7 N7 L9 N9 L11 N11 L13 N13 H7 H9 H11 H13 H5 M13 K13 M11 K11 M9 K9 M7 K7 M5 K5 I9 I11 I13 I7 I5 O13 H14:O14 O11 H12:O12 O9 H10:O10 O7 H8:O8 O5 H6:O6 H15:O15 H16:O16 G29:K29 G30:K30 K26 K28 K25 K27 H23:H24 J23:J24 I25 I27 G25 G27 I28 I26 G28 G26 H26 H28 H27 H25 J26 J28 J25 J27" formula="1" unlockedFormula="1"/>
    <ignoredError sqref="F86 E84:N84 H86 J86 L86 N86" evalError="1"/>
    <ignoredError sqref="P86 O84:P84 T67 T55" evalError="1" unlockedFormula="1"/>
    <ignoredError sqref="Q76 T8 T10 T12 T14 T6 T15:T18 S5:T5 T7 T9 T11 T13 Q16:Q18 Q15 H32 J32 L32 N32" formula="1"/>
  </ignoredErrors>
  <extLst>
    <ext xmlns:x14="http://schemas.microsoft.com/office/spreadsheetml/2009/9/main" uri="{78C0D931-6437-407d-A8EE-F0AAD7539E65}">
      <x14:conditionalFormattings>
        <x14:conditionalFormatting xmlns:xm="http://schemas.microsoft.com/office/excel/2006/main">
          <x14:cfRule type="expression" priority="92" id="{B72F9C9D-99C8-4FA5-BAE8-D6EBB062D4E8}">
            <xm:f>$C$74='Input Tables'!$F$41</xm:f>
            <x14:dxf>
              <font>
                <color theme="1"/>
              </font>
            </x14:dxf>
          </x14:cfRule>
          <xm:sqref>C75</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DBCCC372-E8BD-493F-A049-35592D8D11B1}">
          <x14:formula1>
            <xm:f>'Input Tables'!$I$38:$I$40</xm:f>
          </x14:formula1>
          <xm:sqref>Q7 Q5 Q63 Q61 Q59 Q50:Q57 Q48 Q38:Q39 Q74 Q43:Q44 Q27 Q25 Q23 Q21 Q19 Q13 Q11 Q9 Q65</xm:sqref>
        </x14:dataValidation>
        <x14:dataValidation type="list" allowBlank="1" showInputMessage="1" showErrorMessage="1" xr:uid="{CEF231B2-292F-45BE-847A-A9CBB311DB6E}">
          <x14:formula1>
            <xm:f>'Input Tables'!$F$30:$F$31</xm:f>
          </x14:formula1>
          <xm:sqref>T15:T17</xm:sqref>
        </x14:dataValidation>
        <x14:dataValidation type="list" allowBlank="1" showInputMessage="1" showErrorMessage="1" xr:uid="{AD75C81C-35DE-481E-BB16-99F29C876E87}">
          <x14:formula1>
            <xm:f>'Input Tables'!$C$2:$C$21</xm:f>
          </x14:formula1>
          <xm:sqref>AA8:AA17</xm:sqref>
        </x14:dataValidation>
        <x14:dataValidation type="list" allowBlank="1" showInputMessage="1" showErrorMessage="1" xr:uid="{4355989A-E385-427D-84E5-578FDDCB8C29}">
          <x14:formula1>
            <xm:f>'Input Tables'!$F$33:$F$41</xm:f>
          </x14:formula1>
          <xm:sqref>C74</xm:sqref>
        </x14:dataValidation>
        <x14:dataValidation type="list" allowBlank="1" showInputMessage="1" showErrorMessage="1" xr:uid="{F52FC566-8D3E-4167-B399-5EF43CFF7F34}">
          <x14:formula1>
            <xm:f>'Input Tables'!$I$34:$I$35</xm:f>
          </x14:formula1>
          <xm:sqref>U19:U20</xm:sqref>
        </x14:dataValidation>
        <x14:dataValidation type="list" allowBlank="1" showInputMessage="1" showErrorMessage="1" xr:uid="{0AA4AD10-5D5C-47D8-A02F-8ADAC1E24079}">
          <x14:formula1>
            <xm:f>'Input Tables'!$A$25:$A$43</xm:f>
          </x14:formula1>
          <xm:sqref>U15:U17</xm:sqref>
        </x14:dataValidation>
        <x14:dataValidation type="list" allowBlank="1" showInputMessage="1" showErrorMessage="1" xr:uid="{F376F918-D1F5-433A-8968-C31B039B1EA0}">
          <x14:formula1>
            <xm:f>'Input Tables'!$F$25:$F$29</xm:f>
          </x14:formula1>
          <xm:sqref>T9:T14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48"/>
  <sheetViews>
    <sheetView workbookViewId="0">
      <selection activeCell="I44" sqref="I44"/>
    </sheetView>
  </sheetViews>
  <sheetFormatPr defaultRowHeight="15" x14ac:dyDescent="0.25"/>
  <cols>
    <col min="1" max="1" width="26" bestFit="1" customWidth="1"/>
    <col min="2" max="2" width="15.08984375" bestFit="1" customWidth="1"/>
    <col min="3" max="3" width="26" bestFit="1" customWidth="1"/>
    <col min="4" max="4" width="7" bestFit="1" customWidth="1"/>
    <col min="5" max="5" width="6.54296875" bestFit="1" customWidth="1"/>
    <col min="6" max="6" width="21.54296875" bestFit="1" customWidth="1"/>
    <col min="7" max="7" width="6.08984375" bestFit="1" customWidth="1"/>
    <col min="8" max="8" width="10.90625" bestFit="1" customWidth="1"/>
    <col min="9" max="9" width="7.90625" bestFit="1" customWidth="1"/>
    <col min="10" max="10" width="8.08984375" bestFit="1" customWidth="1"/>
    <col min="11" max="11" width="8.36328125" bestFit="1" customWidth="1"/>
    <col min="12" max="12" width="8.54296875" bestFit="1" customWidth="1"/>
    <col min="13" max="13" width="8.6328125" style="30"/>
    <col min="15" max="15" width="16.08984375" bestFit="1" customWidth="1"/>
  </cols>
  <sheetData>
    <row r="1" spans="1:17" ht="15.6" x14ac:dyDescent="0.3">
      <c r="D1" s="247" t="s">
        <v>78</v>
      </c>
      <c r="E1" s="248"/>
      <c r="F1" s="248"/>
      <c r="G1" s="248"/>
      <c r="H1" s="248"/>
      <c r="K1" s="30"/>
      <c r="L1" s="30"/>
    </row>
    <row r="2" spans="1:17" ht="36.6" thickBot="1" x14ac:dyDescent="0.35">
      <c r="A2" s="1" t="s">
        <v>31</v>
      </c>
      <c r="B2" s="1" t="s">
        <v>32</v>
      </c>
      <c r="C2" s="1" t="s">
        <v>152</v>
      </c>
      <c r="D2" s="2">
        <v>2024</v>
      </c>
      <c r="E2" s="3">
        <v>2025</v>
      </c>
      <c r="F2" s="3">
        <v>2026</v>
      </c>
      <c r="G2" s="3">
        <v>2027</v>
      </c>
      <c r="H2" s="3">
        <v>2028</v>
      </c>
      <c r="I2" s="1" t="s">
        <v>77</v>
      </c>
      <c r="J2" s="1" t="s">
        <v>33</v>
      </c>
      <c r="K2" s="55" t="s">
        <v>162</v>
      </c>
      <c r="L2" s="55" t="s">
        <v>163</v>
      </c>
      <c r="N2" s="61" t="s">
        <v>54</v>
      </c>
      <c r="O2" s="61" t="s">
        <v>55</v>
      </c>
      <c r="P2" s="61" t="s">
        <v>56</v>
      </c>
      <c r="Q2" s="198" t="s">
        <v>285</v>
      </c>
    </row>
    <row r="3" spans="1:17" ht="16.2" thickBot="1" x14ac:dyDescent="0.35">
      <c r="A3" s="213" t="s">
        <v>34</v>
      </c>
      <c r="B3" s="213" t="s">
        <v>35</v>
      </c>
      <c r="C3" s="213" t="s">
        <v>316</v>
      </c>
      <c r="D3" s="214">
        <v>0.37</v>
      </c>
      <c r="E3" s="214">
        <f>D3+$I$3/100</f>
        <v>0.375</v>
      </c>
      <c r="F3" s="214">
        <f>E3+$I$3/100</f>
        <v>0.38</v>
      </c>
      <c r="G3" s="214">
        <f>F3+$I$3/100</f>
        <v>0.38500000000000001</v>
      </c>
      <c r="H3" s="214">
        <f>G3+$I$3/100</f>
        <v>0.39</v>
      </c>
      <c r="I3" s="249">
        <v>0.5</v>
      </c>
      <c r="J3" s="4" t="s">
        <v>28</v>
      </c>
      <c r="K3" s="53">
        <v>5210</v>
      </c>
      <c r="L3" s="53">
        <v>5130</v>
      </c>
      <c r="N3" s="225" t="s">
        <v>57</v>
      </c>
      <c r="O3" s="225" t="s">
        <v>58</v>
      </c>
      <c r="P3" s="223">
        <f>D15</f>
        <v>0.24099999999999999</v>
      </c>
      <c r="Q3" s="199" t="s">
        <v>286</v>
      </c>
    </row>
    <row r="4" spans="1:17" ht="16.2" thickBot="1" x14ac:dyDescent="0.35">
      <c r="A4" s="213" t="s">
        <v>34</v>
      </c>
      <c r="B4" s="213" t="s">
        <v>36</v>
      </c>
      <c r="C4" s="213" t="s">
        <v>317</v>
      </c>
      <c r="D4" s="214">
        <v>0.30199999999999999</v>
      </c>
      <c r="E4" s="214">
        <f t="shared" ref="E4:H5" si="0">D4+$I$3/100</f>
        <v>0.307</v>
      </c>
      <c r="F4" s="214">
        <f t="shared" si="0"/>
        <v>0.312</v>
      </c>
      <c r="G4" s="214">
        <f t="shared" si="0"/>
        <v>0.317</v>
      </c>
      <c r="H4" s="214">
        <f t="shared" si="0"/>
        <v>0.32200000000000001</v>
      </c>
      <c r="I4" s="249"/>
      <c r="J4" s="4" t="s">
        <v>29</v>
      </c>
      <c r="K4" s="48">
        <v>5210</v>
      </c>
      <c r="L4" s="48">
        <v>5130</v>
      </c>
      <c r="N4" s="226" t="s">
        <v>59</v>
      </c>
      <c r="O4" s="226" t="s">
        <v>60</v>
      </c>
      <c r="P4" s="223">
        <f>D15</f>
        <v>0.24099999999999999</v>
      </c>
      <c r="Q4" s="199" t="s">
        <v>286</v>
      </c>
    </row>
    <row r="5" spans="1:17" ht="29.4" thickBot="1" x14ac:dyDescent="0.35">
      <c r="A5" s="213" t="s">
        <v>34</v>
      </c>
      <c r="B5" s="213" t="s">
        <v>37</v>
      </c>
      <c r="C5" s="213" t="s">
        <v>318</v>
      </c>
      <c r="D5" s="214">
        <v>0.38600000000000001</v>
      </c>
      <c r="E5" s="214">
        <f t="shared" si="0"/>
        <v>0.39100000000000001</v>
      </c>
      <c r="F5" s="214">
        <f t="shared" si="0"/>
        <v>0.39600000000000002</v>
      </c>
      <c r="G5" s="214">
        <f t="shared" si="0"/>
        <v>0.40100000000000002</v>
      </c>
      <c r="H5" s="214">
        <f t="shared" si="0"/>
        <v>0.40600000000000003</v>
      </c>
      <c r="I5" s="249"/>
      <c r="J5" s="4" t="s">
        <v>30</v>
      </c>
      <c r="K5" s="48">
        <v>5210</v>
      </c>
      <c r="L5" s="48">
        <v>5130</v>
      </c>
      <c r="N5" s="226" t="s">
        <v>61</v>
      </c>
      <c r="O5" s="226" t="s">
        <v>62</v>
      </c>
      <c r="P5" s="223">
        <f>D15</f>
        <v>0.24099999999999999</v>
      </c>
      <c r="Q5" s="199" t="s">
        <v>286</v>
      </c>
    </row>
    <row r="6" spans="1:17" ht="29.4" thickBot="1" x14ac:dyDescent="0.35">
      <c r="A6" s="215" t="s">
        <v>38</v>
      </c>
      <c r="B6" s="215" t="s">
        <v>35</v>
      </c>
      <c r="C6" s="215" t="s">
        <v>319</v>
      </c>
      <c r="D6" s="216">
        <v>0.377</v>
      </c>
      <c r="E6" s="216">
        <f>D6+$I$6/100</f>
        <v>0.38200000000000001</v>
      </c>
      <c r="F6" s="216">
        <f>E6+$I$6/100</f>
        <v>0.38700000000000001</v>
      </c>
      <c r="G6" s="216">
        <f>F6+$I$6/100</f>
        <v>0.39200000000000002</v>
      </c>
      <c r="H6" s="216">
        <f>G6+$I$6/100</f>
        <v>0.39700000000000002</v>
      </c>
      <c r="I6" s="250">
        <v>0.5</v>
      </c>
      <c r="J6" s="4" t="s">
        <v>39</v>
      </c>
      <c r="K6" s="48">
        <v>5211</v>
      </c>
      <c r="L6" s="48">
        <v>5138</v>
      </c>
      <c r="N6" s="226" t="s">
        <v>63</v>
      </c>
      <c r="O6" s="226" t="s">
        <v>64</v>
      </c>
      <c r="P6" s="223">
        <f>D15</f>
        <v>0.24099999999999999</v>
      </c>
      <c r="Q6" s="199" t="s">
        <v>286</v>
      </c>
    </row>
    <row r="7" spans="1:17" ht="16.2" thickBot="1" x14ac:dyDescent="0.35">
      <c r="A7" s="215" t="s">
        <v>38</v>
      </c>
      <c r="B7" s="215" t="s">
        <v>36</v>
      </c>
      <c r="C7" s="215" t="s">
        <v>320</v>
      </c>
      <c r="D7" s="216">
        <v>0.30299999999999999</v>
      </c>
      <c r="E7" s="216">
        <f t="shared" ref="E7:H10" si="1">D7+$I$6/100</f>
        <v>0.308</v>
      </c>
      <c r="F7" s="216">
        <f t="shared" si="1"/>
        <v>0.313</v>
      </c>
      <c r="G7" s="216">
        <f t="shared" si="1"/>
        <v>0.318</v>
      </c>
      <c r="H7" s="216">
        <f t="shared" si="1"/>
        <v>0.32300000000000001</v>
      </c>
      <c r="I7" s="251"/>
      <c r="J7" s="4" t="s">
        <v>40</v>
      </c>
      <c r="K7" s="48">
        <v>5211</v>
      </c>
      <c r="L7" s="48">
        <v>5138</v>
      </c>
      <c r="N7" s="226" t="s">
        <v>65</v>
      </c>
      <c r="O7" s="226" t="s">
        <v>66</v>
      </c>
      <c r="P7" s="223">
        <f>D16</f>
        <v>0.14000000000000001</v>
      </c>
      <c r="Q7" s="199" t="s">
        <v>287</v>
      </c>
    </row>
    <row r="8" spans="1:17" ht="29.4" thickBot="1" x14ac:dyDescent="0.35">
      <c r="A8" s="215" t="s">
        <v>41</v>
      </c>
      <c r="B8" s="215" t="s">
        <v>36</v>
      </c>
      <c r="C8" s="215" t="s">
        <v>321</v>
      </c>
      <c r="D8" s="216">
        <v>0.30299999999999999</v>
      </c>
      <c r="E8" s="216">
        <f t="shared" si="1"/>
        <v>0.308</v>
      </c>
      <c r="F8" s="216">
        <f t="shared" si="1"/>
        <v>0.313</v>
      </c>
      <c r="G8" s="216">
        <f t="shared" si="1"/>
        <v>0.318</v>
      </c>
      <c r="H8" s="216">
        <f t="shared" si="1"/>
        <v>0.32300000000000001</v>
      </c>
      <c r="I8" s="251"/>
      <c r="J8" s="4" t="s">
        <v>42</v>
      </c>
      <c r="K8" s="48">
        <v>5211</v>
      </c>
      <c r="L8" s="48">
        <v>5138</v>
      </c>
      <c r="N8" s="226" t="s">
        <v>71</v>
      </c>
      <c r="O8" s="226" t="s">
        <v>72</v>
      </c>
      <c r="P8" s="223">
        <f>D17</f>
        <v>0.23799999999999999</v>
      </c>
      <c r="Q8" s="199" t="s">
        <v>288</v>
      </c>
    </row>
    <row r="9" spans="1:17" ht="29.4" thickBot="1" x14ac:dyDescent="0.35">
      <c r="A9" s="215" t="s">
        <v>38</v>
      </c>
      <c r="B9" s="215" t="s">
        <v>37</v>
      </c>
      <c r="C9" s="215" t="s">
        <v>322</v>
      </c>
      <c r="D9" s="216">
        <v>0.39900000000000002</v>
      </c>
      <c r="E9" s="216">
        <f t="shared" si="1"/>
        <v>0.40400000000000003</v>
      </c>
      <c r="F9" s="216">
        <f t="shared" si="1"/>
        <v>0.40900000000000003</v>
      </c>
      <c r="G9" s="216">
        <f t="shared" si="1"/>
        <v>0.41400000000000003</v>
      </c>
      <c r="H9" s="216">
        <f t="shared" si="1"/>
        <v>0.41900000000000004</v>
      </c>
      <c r="I9" s="251"/>
      <c r="J9" s="4" t="s">
        <v>43</v>
      </c>
      <c r="K9" s="48">
        <v>5211</v>
      </c>
      <c r="L9" s="48">
        <v>5138</v>
      </c>
      <c r="N9" s="226" t="s">
        <v>67</v>
      </c>
      <c r="O9" s="226" t="s">
        <v>68</v>
      </c>
      <c r="P9" s="223">
        <f>D16</f>
        <v>0.14000000000000001</v>
      </c>
      <c r="Q9" s="199" t="s">
        <v>287</v>
      </c>
    </row>
    <row r="10" spans="1:17" ht="29.4" thickBot="1" x14ac:dyDescent="0.35">
      <c r="A10" s="215" t="s">
        <v>41</v>
      </c>
      <c r="B10" s="215" t="s">
        <v>37</v>
      </c>
      <c r="C10" s="215" t="s">
        <v>323</v>
      </c>
      <c r="D10" s="216">
        <v>0.39900000000000002</v>
      </c>
      <c r="E10" s="216">
        <f t="shared" si="1"/>
        <v>0.40400000000000003</v>
      </c>
      <c r="F10" s="216">
        <f t="shared" si="1"/>
        <v>0.40900000000000003</v>
      </c>
      <c r="G10" s="216">
        <f t="shared" si="1"/>
        <v>0.41400000000000003</v>
      </c>
      <c r="H10" s="216">
        <f t="shared" si="1"/>
        <v>0.41900000000000004</v>
      </c>
      <c r="I10" s="252"/>
      <c r="J10" s="4" t="s">
        <v>44</v>
      </c>
      <c r="K10" s="48">
        <v>5211</v>
      </c>
      <c r="L10" s="48">
        <v>5138</v>
      </c>
      <c r="N10" s="227" t="s">
        <v>73</v>
      </c>
      <c r="O10" s="227" t="s">
        <v>74</v>
      </c>
      <c r="P10" s="223">
        <f>D17</f>
        <v>0.23799999999999999</v>
      </c>
      <c r="Q10" s="199" t="s">
        <v>288</v>
      </c>
    </row>
    <row r="11" spans="1:17" ht="29.4" thickBot="1" x14ac:dyDescent="0.35">
      <c r="A11" s="217" t="s">
        <v>45</v>
      </c>
      <c r="B11" s="217" t="s">
        <v>35</v>
      </c>
      <c r="C11" s="217" t="s">
        <v>324</v>
      </c>
      <c r="D11" s="218">
        <v>0.38700000000000001</v>
      </c>
      <c r="E11" s="218">
        <f t="shared" ref="E11:H13" si="2">D11+$I$11/100</f>
        <v>0.39200000000000002</v>
      </c>
      <c r="F11" s="218">
        <f t="shared" si="2"/>
        <v>0.39700000000000002</v>
      </c>
      <c r="G11" s="218">
        <f t="shared" si="2"/>
        <v>0.40200000000000002</v>
      </c>
      <c r="H11" s="218">
        <f t="shared" si="2"/>
        <v>0.40700000000000003</v>
      </c>
      <c r="I11" s="250">
        <v>0.5</v>
      </c>
      <c r="J11" s="4" t="s">
        <v>46</v>
      </c>
      <c r="K11" s="48">
        <v>5212</v>
      </c>
      <c r="L11" s="48">
        <v>5137</v>
      </c>
      <c r="N11" s="226" t="s">
        <v>69</v>
      </c>
      <c r="O11" s="226" t="s">
        <v>70</v>
      </c>
      <c r="P11" s="223">
        <f>D16</f>
        <v>0.14000000000000001</v>
      </c>
      <c r="Q11" s="199" t="s">
        <v>287</v>
      </c>
    </row>
    <row r="12" spans="1:17" ht="29.4" thickBot="1" x14ac:dyDescent="0.35">
      <c r="A12" s="217" t="s">
        <v>45</v>
      </c>
      <c r="B12" s="217" t="s">
        <v>36</v>
      </c>
      <c r="C12" s="217" t="s">
        <v>325</v>
      </c>
      <c r="D12" s="218">
        <v>0.29699999999999999</v>
      </c>
      <c r="E12" s="218">
        <f t="shared" si="2"/>
        <v>0.30199999999999999</v>
      </c>
      <c r="F12" s="218">
        <f t="shared" si="2"/>
        <v>0.307</v>
      </c>
      <c r="G12" s="218">
        <f t="shared" si="2"/>
        <v>0.312</v>
      </c>
      <c r="H12" s="218">
        <f t="shared" si="2"/>
        <v>0.317</v>
      </c>
      <c r="I12" s="251"/>
      <c r="J12" s="4" t="s">
        <v>47</v>
      </c>
      <c r="K12" s="48">
        <v>5212</v>
      </c>
      <c r="L12" s="48">
        <v>5137</v>
      </c>
      <c r="N12" s="224" t="s">
        <v>75</v>
      </c>
      <c r="O12" s="224" t="s">
        <v>76</v>
      </c>
      <c r="P12" s="223">
        <f>D17</f>
        <v>0.23799999999999999</v>
      </c>
      <c r="Q12" s="199" t="s">
        <v>288</v>
      </c>
    </row>
    <row r="13" spans="1:17" ht="15.6" x14ac:dyDescent="0.3">
      <c r="A13" s="217" t="s">
        <v>45</v>
      </c>
      <c r="B13" s="217" t="s">
        <v>37</v>
      </c>
      <c r="C13" s="217" t="s">
        <v>326</v>
      </c>
      <c r="D13" s="218">
        <v>0.4</v>
      </c>
      <c r="E13" s="218">
        <f t="shared" si="2"/>
        <v>0.40500000000000003</v>
      </c>
      <c r="F13" s="218">
        <f t="shared" si="2"/>
        <v>0.41000000000000003</v>
      </c>
      <c r="G13" s="218">
        <f t="shared" si="2"/>
        <v>0.41500000000000004</v>
      </c>
      <c r="H13" s="218">
        <f t="shared" si="2"/>
        <v>0.42000000000000004</v>
      </c>
      <c r="I13" s="251"/>
      <c r="J13" s="4" t="s">
        <v>48</v>
      </c>
      <c r="K13" s="48">
        <v>5212</v>
      </c>
      <c r="L13" s="48">
        <v>5137</v>
      </c>
    </row>
    <row r="14" spans="1:17" ht="15.6" x14ac:dyDescent="0.3">
      <c r="A14" s="219" t="s">
        <v>49</v>
      </c>
      <c r="B14" s="219"/>
      <c r="C14" s="219" t="s">
        <v>327</v>
      </c>
      <c r="D14" s="220">
        <v>0.40699999999999997</v>
      </c>
      <c r="E14" s="220">
        <f>D14+$I$14/100</f>
        <v>0.41199999999999998</v>
      </c>
      <c r="F14" s="220">
        <f>E14+$I$14/100</f>
        <v>0.41699999999999998</v>
      </c>
      <c r="G14" s="220">
        <f>F14+$I$14/100</f>
        <v>0.42199999999999999</v>
      </c>
      <c r="H14" s="220">
        <f>G14+$I$14/100</f>
        <v>0.42699999999999999</v>
      </c>
      <c r="I14" s="212">
        <v>0.5</v>
      </c>
      <c r="J14" s="4" t="s">
        <v>50</v>
      </c>
      <c r="K14" s="48">
        <v>5201</v>
      </c>
      <c r="L14" s="48">
        <v>5100</v>
      </c>
    </row>
    <row r="15" spans="1:17" ht="15.6" x14ac:dyDescent="0.3">
      <c r="A15" s="49" t="s">
        <v>51</v>
      </c>
      <c r="B15" s="49" t="s">
        <v>35</v>
      </c>
      <c r="C15" s="49" t="s">
        <v>328</v>
      </c>
      <c r="D15" s="221">
        <v>0.24099999999999999</v>
      </c>
      <c r="E15" s="221">
        <f t="shared" ref="E15:H17" si="3">D15+$I$15/100</f>
        <v>0.246</v>
      </c>
      <c r="F15" s="221">
        <f t="shared" si="3"/>
        <v>0.251</v>
      </c>
      <c r="G15" s="221">
        <f t="shared" si="3"/>
        <v>0.25600000000000001</v>
      </c>
      <c r="H15" s="221">
        <f t="shared" si="3"/>
        <v>0.26100000000000001</v>
      </c>
      <c r="I15" s="249">
        <v>0.5</v>
      </c>
      <c r="J15" s="4" t="s">
        <v>165</v>
      </c>
      <c r="K15" s="48"/>
      <c r="L15" s="48"/>
    </row>
    <row r="16" spans="1:17" ht="15.6" x14ac:dyDescent="0.3">
      <c r="A16" s="49" t="s">
        <v>51</v>
      </c>
      <c r="B16" s="49" t="s">
        <v>36</v>
      </c>
      <c r="C16" s="49" t="s">
        <v>329</v>
      </c>
      <c r="D16" s="221">
        <v>0.14000000000000001</v>
      </c>
      <c r="E16" s="221">
        <f t="shared" si="3"/>
        <v>0.14500000000000002</v>
      </c>
      <c r="F16" s="221">
        <f t="shared" si="3"/>
        <v>0.15000000000000002</v>
      </c>
      <c r="G16" s="221">
        <f t="shared" si="3"/>
        <v>0.15500000000000003</v>
      </c>
      <c r="H16" s="221">
        <f t="shared" si="3"/>
        <v>0.16000000000000003</v>
      </c>
      <c r="I16" s="249"/>
      <c r="J16" s="4" t="s">
        <v>52</v>
      </c>
      <c r="K16" s="48"/>
      <c r="L16" s="48"/>
    </row>
    <row r="17" spans="1:15" ht="15.6" x14ac:dyDescent="0.3">
      <c r="A17" s="49" t="s">
        <v>51</v>
      </c>
      <c r="B17" s="49" t="s">
        <v>37</v>
      </c>
      <c r="C17" s="49" t="s">
        <v>330</v>
      </c>
      <c r="D17" s="221">
        <v>0.23799999999999999</v>
      </c>
      <c r="E17" s="221">
        <f t="shared" si="3"/>
        <v>0.24299999999999999</v>
      </c>
      <c r="F17" s="221">
        <f t="shared" si="3"/>
        <v>0.248</v>
      </c>
      <c r="G17" s="221">
        <f t="shared" si="3"/>
        <v>0.253</v>
      </c>
      <c r="H17" s="221">
        <f t="shared" si="3"/>
        <v>0.25800000000000001</v>
      </c>
      <c r="I17" s="249"/>
      <c r="J17" s="4" t="s">
        <v>53</v>
      </c>
      <c r="K17" s="48"/>
      <c r="L17" s="48"/>
    </row>
    <row r="18" spans="1:15" ht="15.6" x14ac:dyDescent="0.3">
      <c r="A18" s="49" t="s">
        <v>130</v>
      </c>
      <c r="B18" s="49"/>
      <c r="C18" s="49" t="s">
        <v>128</v>
      </c>
      <c r="D18" s="222">
        <f>(10677+1247)*2+547</f>
        <v>24395</v>
      </c>
      <c r="E18" s="222">
        <f t="shared" ref="E18:H20" si="4">D18*(1+$I$18)</f>
        <v>25370.799999999999</v>
      </c>
      <c r="F18" s="222">
        <f t="shared" si="4"/>
        <v>26385.632000000001</v>
      </c>
      <c r="G18" s="222">
        <f t="shared" si="4"/>
        <v>27441.057280000001</v>
      </c>
      <c r="H18" s="222">
        <f t="shared" si="4"/>
        <v>28538.699571200003</v>
      </c>
      <c r="I18" s="200">
        <v>0.04</v>
      </c>
      <c r="J18" s="51"/>
      <c r="K18" s="48">
        <v>5214</v>
      </c>
      <c r="L18" s="48">
        <v>5118</v>
      </c>
    </row>
    <row r="19" spans="1:15" ht="15.6" x14ac:dyDescent="0.3">
      <c r="A19" s="49" t="s">
        <v>130</v>
      </c>
      <c r="B19" s="49"/>
      <c r="C19" s="49" t="s">
        <v>140</v>
      </c>
      <c r="D19" s="222">
        <f>(5522+1247)*2+547</f>
        <v>14085</v>
      </c>
      <c r="E19" s="222">
        <f>D19*(1+$I19)</f>
        <v>14648.4</v>
      </c>
      <c r="F19" s="222">
        <f t="shared" ref="F19:H20" si="5">E19*(1+$I19)</f>
        <v>15234.335999999999</v>
      </c>
      <c r="G19" s="222">
        <f t="shared" si="5"/>
        <v>15843.709440000001</v>
      </c>
      <c r="H19" s="222">
        <f t="shared" si="5"/>
        <v>16477.4578176</v>
      </c>
      <c r="I19" s="200">
        <v>0.04</v>
      </c>
      <c r="J19" s="51"/>
      <c r="K19" s="48">
        <v>5214</v>
      </c>
      <c r="L19" s="48">
        <v>5118</v>
      </c>
    </row>
    <row r="20" spans="1:15" ht="15.6" x14ac:dyDescent="0.3">
      <c r="A20" s="49" t="s">
        <v>130</v>
      </c>
      <c r="B20" s="49"/>
      <c r="C20" s="49" t="s">
        <v>305</v>
      </c>
      <c r="D20" s="222">
        <f>(10677+1247)*2+4671</f>
        <v>28519</v>
      </c>
      <c r="E20" s="222">
        <f>D20*(1+$I20)</f>
        <v>29659.760000000002</v>
      </c>
      <c r="F20" s="222">
        <f t="shared" si="5"/>
        <v>30846.150400000002</v>
      </c>
      <c r="G20" s="222">
        <f t="shared" si="5"/>
        <v>32079.996416000002</v>
      </c>
      <c r="H20" s="222">
        <f t="shared" si="5"/>
        <v>33363.196272640002</v>
      </c>
      <c r="I20" s="200">
        <v>0.04</v>
      </c>
      <c r="J20" s="51"/>
      <c r="K20" s="48">
        <v>5565</v>
      </c>
      <c r="L20" s="48">
        <v>5566</v>
      </c>
    </row>
    <row r="21" spans="1:15" ht="15.6" x14ac:dyDescent="0.3">
      <c r="A21" s="49" t="s">
        <v>131</v>
      </c>
      <c r="B21" s="49"/>
      <c r="C21" s="49" t="s">
        <v>129</v>
      </c>
      <c r="D21" s="52">
        <v>0</v>
      </c>
      <c r="E21" s="221">
        <v>0</v>
      </c>
      <c r="F21" s="221">
        <v>0</v>
      </c>
      <c r="G21" s="221">
        <v>0</v>
      </c>
      <c r="H21" s="221">
        <v>0</v>
      </c>
      <c r="I21" s="50"/>
      <c r="J21" s="51"/>
      <c r="K21" s="48">
        <v>5218</v>
      </c>
      <c r="L21" s="48"/>
    </row>
    <row r="22" spans="1:15" ht="15.6" x14ac:dyDescent="0.3">
      <c r="A22" s="27"/>
      <c r="B22" s="27"/>
      <c r="C22" s="27"/>
      <c r="D22" s="28"/>
      <c r="E22" s="28"/>
      <c r="F22" s="28"/>
      <c r="G22" s="28"/>
      <c r="H22" s="28"/>
      <c r="I22" s="26"/>
      <c r="J22" s="29"/>
      <c r="K22" s="54"/>
      <c r="L22" s="54"/>
    </row>
    <row r="23" spans="1:15" ht="15.6" x14ac:dyDescent="0.3">
      <c r="A23" s="202" t="s">
        <v>311</v>
      </c>
      <c r="C23" s="27"/>
      <c r="D23" s="5"/>
      <c r="F23" s="62" t="s">
        <v>164</v>
      </c>
      <c r="K23" s="30"/>
      <c r="L23" s="30"/>
    </row>
    <row r="24" spans="1:15" ht="15.6" x14ac:dyDescent="0.3">
      <c r="A24" s="6" t="s">
        <v>79</v>
      </c>
      <c r="B24" s="6" t="s">
        <v>284</v>
      </c>
      <c r="C24" s="157"/>
      <c r="F24" s="201" t="s">
        <v>118</v>
      </c>
      <c r="G24" s="201"/>
      <c r="H24" s="201" t="s">
        <v>126</v>
      </c>
      <c r="I24" s="56" t="s">
        <v>132</v>
      </c>
      <c r="J24" s="201"/>
      <c r="O24" s="210" t="s">
        <v>274</v>
      </c>
    </row>
    <row r="25" spans="1:15" ht="15.6" x14ac:dyDescent="0.3">
      <c r="A25" s="59" t="s">
        <v>103</v>
      </c>
      <c r="B25" s="7">
        <v>0</v>
      </c>
      <c r="C25" s="157"/>
      <c r="F25" s="201" t="s">
        <v>106</v>
      </c>
      <c r="G25" s="201"/>
      <c r="H25" s="201" t="s">
        <v>137</v>
      </c>
      <c r="I25" s="56">
        <v>5.4099999999999999E-3</v>
      </c>
      <c r="J25" s="201"/>
      <c r="N25" s="204">
        <v>44927</v>
      </c>
      <c r="O25" s="205">
        <v>13.65</v>
      </c>
    </row>
    <row r="26" spans="1:15" ht="15.6" x14ac:dyDescent="0.3">
      <c r="A26" s="59" t="s">
        <v>131</v>
      </c>
      <c r="B26" s="7">
        <v>25</v>
      </c>
      <c r="C26" s="157"/>
      <c r="F26" s="201" t="s">
        <v>38</v>
      </c>
      <c r="G26" s="201"/>
      <c r="H26" s="201" t="s">
        <v>136</v>
      </c>
      <c r="I26" s="56">
        <v>3.8500000000000001E-3</v>
      </c>
      <c r="J26" s="201"/>
    </row>
    <row r="27" spans="1:15" ht="15.6" x14ac:dyDescent="0.3">
      <c r="A27" s="59" t="s">
        <v>80</v>
      </c>
      <c r="B27" s="7">
        <v>32000</v>
      </c>
      <c r="C27" s="206"/>
      <c r="F27" s="201" t="s">
        <v>192</v>
      </c>
      <c r="G27" s="201"/>
      <c r="H27" s="201" t="s">
        <v>138</v>
      </c>
      <c r="I27" s="58">
        <f>1/12</f>
        <v>8.3333333333333329E-2</v>
      </c>
      <c r="J27" s="201"/>
    </row>
    <row r="28" spans="1:15" ht="15.6" x14ac:dyDescent="0.3">
      <c r="A28" s="59" t="s">
        <v>81</v>
      </c>
      <c r="B28" s="7">
        <v>32000</v>
      </c>
      <c r="C28" s="206"/>
      <c r="F28" s="201" t="s">
        <v>119</v>
      </c>
      <c r="G28" s="201"/>
      <c r="H28" s="201" t="s">
        <v>94</v>
      </c>
      <c r="I28" s="56">
        <v>0.01</v>
      </c>
      <c r="J28" s="201"/>
    </row>
    <row r="29" spans="1:15" ht="15.6" x14ac:dyDescent="0.3">
      <c r="A29" s="59" t="s">
        <v>82</v>
      </c>
      <c r="B29" s="7">
        <v>32000</v>
      </c>
      <c r="C29" s="206"/>
      <c r="F29" s="201" t="s">
        <v>275</v>
      </c>
      <c r="G29" s="201"/>
      <c r="H29" s="201" t="s">
        <v>130</v>
      </c>
      <c r="I29" s="56"/>
      <c r="J29" s="201"/>
    </row>
    <row r="30" spans="1:15" ht="15.6" x14ac:dyDescent="0.3">
      <c r="A30" s="59" t="s">
        <v>83</v>
      </c>
      <c r="B30" s="7">
        <v>32000</v>
      </c>
      <c r="C30" s="206"/>
      <c r="F30" s="201" t="s">
        <v>120</v>
      </c>
      <c r="G30" s="201"/>
      <c r="H30" s="201" t="s">
        <v>131</v>
      </c>
      <c r="I30" s="56"/>
      <c r="J30" s="201"/>
    </row>
    <row r="31" spans="1:15" ht="15.6" x14ac:dyDescent="0.3">
      <c r="A31" s="59" t="s">
        <v>84</v>
      </c>
      <c r="B31" s="7">
        <v>32000</v>
      </c>
      <c r="C31" s="206"/>
      <c r="F31" s="201" t="s">
        <v>121</v>
      </c>
      <c r="I31" s="30"/>
      <c r="L31" s="32"/>
      <c r="M31"/>
    </row>
    <row r="32" spans="1:15" ht="15.6" x14ac:dyDescent="0.3">
      <c r="A32" s="59" t="s">
        <v>85</v>
      </c>
      <c r="B32" s="7">
        <v>32000</v>
      </c>
      <c r="C32" s="206"/>
    </row>
    <row r="33" spans="1:9" ht="15.6" x14ac:dyDescent="0.3">
      <c r="A33" s="59" t="s">
        <v>86</v>
      </c>
      <c r="B33" s="7">
        <v>32000</v>
      </c>
      <c r="C33" s="206"/>
      <c r="F33" s="201" t="s">
        <v>146</v>
      </c>
      <c r="G33" s="57" t="s">
        <v>139</v>
      </c>
      <c r="H33" s="201"/>
      <c r="I33" s="201" t="s">
        <v>152</v>
      </c>
    </row>
    <row r="34" spans="1:9" ht="15.6" x14ac:dyDescent="0.3">
      <c r="A34" s="59" t="s">
        <v>87</v>
      </c>
      <c r="B34" s="7">
        <v>32000</v>
      </c>
      <c r="C34" s="206"/>
      <c r="F34" s="201" t="s">
        <v>216</v>
      </c>
      <c r="G34" s="57">
        <v>0.51500000000000001</v>
      </c>
      <c r="H34" s="201"/>
      <c r="I34" s="201" t="s">
        <v>154</v>
      </c>
    </row>
    <row r="35" spans="1:9" ht="15.6" x14ac:dyDescent="0.3">
      <c r="A35" s="59" t="s">
        <v>223</v>
      </c>
      <c r="B35" s="7">
        <v>32000</v>
      </c>
      <c r="C35" s="206"/>
      <c r="F35" s="201" t="s">
        <v>193</v>
      </c>
      <c r="G35" s="57">
        <v>0.26</v>
      </c>
      <c r="H35" s="201"/>
      <c r="I35" s="201" t="s">
        <v>153</v>
      </c>
    </row>
    <row r="36" spans="1:9" ht="15.6" x14ac:dyDescent="0.3">
      <c r="A36" s="59" t="s">
        <v>222</v>
      </c>
      <c r="B36" s="7">
        <v>32000</v>
      </c>
      <c r="C36" s="206"/>
      <c r="F36" s="201" t="s">
        <v>217</v>
      </c>
      <c r="G36" s="57">
        <v>0.63700000000000001</v>
      </c>
      <c r="H36" s="201"/>
      <c r="I36" s="201"/>
    </row>
    <row r="37" spans="1:9" ht="15.6" x14ac:dyDescent="0.3">
      <c r="A37" s="59" t="s">
        <v>88</v>
      </c>
      <c r="B37" s="7">
        <v>32000</v>
      </c>
      <c r="C37" s="206"/>
      <c r="F37" s="201" t="s">
        <v>218</v>
      </c>
      <c r="G37" s="57">
        <v>0.38200000000000001</v>
      </c>
      <c r="H37" s="201"/>
      <c r="I37" s="203" t="s">
        <v>198</v>
      </c>
    </row>
    <row r="38" spans="1:9" ht="15.6" x14ac:dyDescent="0.3">
      <c r="A38" s="59" t="s">
        <v>308</v>
      </c>
      <c r="B38" s="7">
        <v>32000</v>
      </c>
      <c r="C38" s="206"/>
      <c r="F38" s="201" t="s">
        <v>219</v>
      </c>
      <c r="G38" s="57">
        <v>0.51</v>
      </c>
      <c r="H38" s="201"/>
      <c r="I38" s="201" t="s">
        <v>306</v>
      </c>
    </row>
    <row r="39" spans="1:9" ht="15.6" x14ac:dyDescent="0.3">
      <c r="A39" s="59" t="s">
        <v>89</v>
      </c>
      <c r="B39" s="7">
        <v>34000</v>
      </c>
      <c r="C39" s="206"/>
      <c r="F39" s="201" t="s">
        <v>194</v>
      </c>
      <c r="G39" s="57">
        <v>0.26</v>
      </c>
      <c r="H39" s="201"/>
      <c r="I39" s="201" t="s">
        <v>203</v>
      </c>
    </row>
    <row r="40" spans="1:9" ht="15.6" x14ac:dyDescent="0.3">
      <c r="A40" s="59" t="s">
        <v>90</v>
      </c>
      <c r="B40" s="7">
        <v>32000</v>
      </c>
      <c r="C40" s="206"/>
      <c r="F40" s="201" t="s">
        <v>171</v>
      </c>
      <c r="G40" s="57">
        <v>0</v>
      </c>
      <c r="I40" s="201" t="s">
        <v>307</v>
      </c>
    </row>
    <row r="41" spans="1:9" ht="15.6" x14ac:dyDescent="0.3">
      <c r="A41" s="59" t="s">
        <v>91</v>
      </c>
      <c r="B41" s="7">
        <v>32000</v>
      </c>
      <c r="C41" s="206"/>
      <c r="F41" s="201" t="s">
        <v>172</v>
      </c>
      <c r="G41" s="57"/>
    </row>
    <row r="42" spans="1:9" ht="15.6" x14ac:dyDescent="0.3">
      <c r="A42" s="59" t="s">
        <v>92</v>
      </c>
      <c r="B42" s="7">
        <v>32000</v>
      </c>
      <c r="C42" s="206"/>
      <c r="F42" s="159" t="s">
        <v>220</v>
      </c>
      <c r="G42" s="201" t="s">
        <v>221</v>
      </c>
      <c r="I42" s="208" t="s">
        <v>309</v>
      </c>
    </row>
    <row r="43" spans="1:9" ht="16.2" thickBot="1" x14ac:dyDescent="0.35">
      <c r="A43" s="60" t="s">
        <v>93</v>
      </c>
      <c r="B43" s="7">
        <v>32000</v>
      </c>
      <c r="C43" s="207"/>
      <c r="I43" s="209">
        <v>0.04</v>
      </c>
    </row>
    <row r="44" spans="1:9" ht="15.6" x14ac:dyDescent="0.3">
      <c r="A44" s="158" t="s">
        <v>215</v>
      </c>
    </row>
    <row r="46" spans="1:9" ht="15.6" x14ac:dyDescent="0.3">
      <c r="A46" s="201" t="s">
        <v>312</v>
      </c>
      <c r="B46" s="211">
        <v>32000</v>
      </c>
    </row>
    <row r="47" spans="1:9" ht="15.6" x14ac:dyDescent="0.3">
      <c r="A47" s="201" t="s">
        <v>313</v>
      </c>
      <c r="B47" s="211">
        <v>35000</v>
      </c>
    </row>
    <row r="48" spans="1:9" ht="15.6" x14ac:dyDescent="0.3">
      <c r="A48" s="201" t="s">
        <v>314</v>
      </c>
      <c r="B48" s="211">
        <v>38000</v>
      </c>
    </row>
  </sheetData>
  <mergeCells count="5">
    <mergeCell ref="D1:H1"/>
    <mergeCell ref="I3:I5"/>
    <mergeCell ref="I15:I17"/>
    <mergeCell ref="I6:I10"/>
    <mergeCell ref="I11:I13"/>
  </mergeCells>
  <hyperlinks>
    <hyperlink ref="F42" r:id="rId1" xr:uid="{7706CAB7-D4A6-44A3-BCB8-15E654D6348E}"/>
    <hyperlink ref="O24" r:id="rId2" xr:uid="{D722D570-2DA9-49FE-A0B2-AE6848CE5A34}"/>
    <hyperlink ref="A44" r:id="rId3" xr:uid="{D5B209C9-FB23-438E-AD57-E58B0542EC0C}"/>
  </hyperlinks>
  <pageMargins left="0.7" right="0.7" top="0.75" bottom="0.75" header="0.3" footer="0.3"/>
  <pageSetup orientation="portrait" horizontalDpi="1200" verticalDpi="1200" r:id="rId4"/>
  <tableParts count="5">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9CD20-67F6-4B3E-BF0C-288EB3EBBDBD}">
  <dimension ref="A1:A72"/>
  <sheetViews>
    <sheetView workbookViewId="0">
      <selection activeCell="A65" sqref="A65"/>
    </sheetView>
  </sheetViews>
  <sheetFormatPr defaultRowHeight="15" x14ac:dyDescent="0.25"/>
  <cols>
    <col min="1" max="1" width="9.453125" customWidth="1"/>
  </cols>
  <sheetData>
    <row r="1" spans="1:1" ht="15.6" x14ac:dyDescent="0.25">
      <c r="A1" s="168" t="s">
        <v>224</v>
      </c>
    </row>
    <row r="2" spans="1:1" ht="15.6" x14ac:dyDescent="0.25">
      <c r="A2" s="168"/>
    </row>
    <row r="3" spans="1:1" x14ac:dyDescent="0.25">
      <c r="A3" s="169" t="s">
        <v>225</v>
      </c>
    </row>
    <row r="4" spans="1:1" s="85" customFormat="1" x14ac:dyDescent="0.25">
      <c r="A4" s="170" t="s">
        <v>226</v>
      </c>
    </row>
    <row r="5" spans="1:1" x14ac:dyDescent="0.25">
      <c r="A5" s="170" t="s">
        <v>280</v>
      </c>
    </row>
    <row r="6" spans="1:1" x14ac:dyDescent="0.25">
      <c r="A6" s="170" t="s">
        <v>281</v>
      </c>
    </row>
    <row r="7" spans="1:1" x14ac:dyDescent="0.25">
      <c r="A7" s="170" t="s">
        <v>282</v>
      </c>
    </row>
    <row r="8" spans="1:1" x14ac:dyDescent="0.25">
      <c r="A8" s="170"/>
    </row>
    <row r="9" spans="1:1" x14ac:dyDescent="0.25">
      <c r="A9" s="171" t="s">
        <v>227</v>
      </c>
    </row>
    <row r="10" spans="1:1" x14ac:dyDescent="0.25">
      <c r="A10" s="170" t="s">
        <v>228</v>
      </c>
    </row>
    <row r="11" spans="1:1" x14ac:dyDescent="0.25">
      <c r="A11" s="170"/>
    </row>
    <row r="12" spans="1:1" x14ac:dyDescent="0.25">
      <c r="A12" s="171" t="s">
        <v>229</v>
      </c>
    </row>
    <row r="13" spans="1:1" x14ac:dyDescent="0.25">
      <c r="A13" s="170" t="s">
        <v>230</v>
      </c>
    </row>
    <row r="14" spans="1:1" x14ac:dyDescent="0.25">
      <c r="A14" s="170"/>
    </row>
    <row r="15" spans="1:1" x14ac:dyDescent="0.25">
      <c r="A15" s="171" t="s">
        <v>231</v>
      </c>
    </row>
    <row r="16" spans="1:1" x14ac:dyDescent="0.25">
      <c r="A16" s="170" t="s">
        <v>232</v>
      </c>
    </row>
    <row r="17" spans="1:1" x14ac:dyDescent="0.25">
      <c r="A17" s="170" t="s">
        <v>233</v>
      </c>
    </row>
    <row r="18" spans="1:1" x14ac:dyDescent="0.25">
      <c r="A18" s="170" t="s">
        <v>234</v>
      </c>
    </row>
    <row r="19" spans="1:1" x14ac:dyDescent="0.25">
      <c r="A19" s="169" t="s">
        <v>235</v>
      </c>
    </row>
    <row r="20" spans="1:1" x14ac:dyDescent="0.25">
      <c r="A20" s="170" t="s">
        <v>236</v>
      </c>
    </row>
    <row r="21" spans="1:1" x14ac:dyDescent="0.25">
      <c r="A21" s="170"/>
    </row>
    <row r="22" spans="1:1" x14ac:dyDescent="0.25">
      <c r="A22" s="170" t="s">
        <v>237</v>
      </c>
    </row>
    <row r="23" spans="1:1" x14ac:dyDescent="0.25">
      <c r="A23" s="170" t="s">
        <v>238</v>
      </c>
    </row>
    <row r="24" spans="1:1" x14ac:dyDescent="0.25">
      <c r="A24" s="170" t="s">
        <v>239</v>
      </c>
    </row>
    <row r="25" spans="1:1" x14ac:dyDescent="0.25">
      <c r="A25" s="170" t="s">
        <v>240</v>
      </c>
    </row>
    <row r="26" spans="1:1" x14ac:dyDescent="0.25">
      <c r="A26" s="170"/>
    </row>
    <row r="27" spans="1:1" x14ac:dyDescent="0.25">
      <c r="A27" s="170" t="s">
        <v>279</v>
      </c>
    </row>
    <row r="28" spans="1:1" x14ac:dyDescent="0.25">
      <c r="A28" s="170"/>
    </row>
    <row r="29" spans="1:1" x14ac:dyDescent="0.25">
      <c r="A29" s="169" t="s">
        <v>260</v>
      </c>
    </row>
    <row r="30" spans="1:1" x14ac:dyDescent="0.25">
      <c r="A30" s="170" t="s">
        <v>241</v>
      </c>
    </row>
    <row r="31" spans="1:1" x14ac:dyDescent="0.25">
      <c r="A31" s="170" t="s">
        <v>283</v>
      </c>
    </row>
    <row r="32" spans="1:1" x14ac:dyDescent="0.25">
      <c r="A32" s="170" t="s">
        <v>282</v>
      </c>
    </row>
    <row r="33" spans="1:1" x14ac:dyDescent="0.25">
      <c r="A33" s="169"/>
    </row>
    <row r="34" spans="1:1" x14ac:dyDescent="0.25">
      <c r="A34" s="171" t="s">
        <v>242</v>
      </c>
    </row>
    <row r="35" spans="1:1" x14ac:dyDescent="0.25">
      <c r="A35" s="170" t="s">
        <v>243</v>
      </c>
    </row>
    <row r="36" spans="1:1" x14ac:dyDescent="0.25">
      <c r="A36" s="170"/>
    </row>
    <row r="37" spans="1:1" x14ac:dyDescent="0.25">
      <c r="A37" s="171" t="s">
        <v>244</v>
      </c>
    </row>
    <row r="38" spans="1:1" x14ac:dyDescent="0.25">
      <c r="A38" s="170" t="s">
        <v>245</v>
      </c>
    </row>
    <row r="39" spans="1:1" x14ac:dyDescent="0.25">
      <c r="A39" s="170"/>
    </row>
    <row r="40" spans="1:1" x14ac:dyDescent="0.25">
      <c r="A40" s="171" t="s">
        <v>246</v>
      </c>
    </row>
    <row r="41" spans="1:1" x14ac:dyDescent="0.25">
      <c r="A41" s="170" t="s">
        <v>247</v>
      </c>
    </row>
    <row r="42" spans="1:1" x14ac:dyDescent="0.25">
      <c r="A42" s="170" t="s">
        <v>233</v>
      </c>
    </row>
    <row r="43" spans="1:1" x14ac:dyDescent="0.25">
      <c r="A43" s="170"/>
    </row>
    <row r="44" spans="1:1" x14ac:dyDescent="0.25">
      <c r="A44" s="169" t="s">
        <v>248</v>
      </c>
    </row>
    <row r="45" spans="1:1" x14ac:dyDescent="0.25">
      <c r="A45" s="170" t="s">
        <v>249</v>
      </c>
    </row>
    <row r="46" spans="1:1" x14ac:dyDescent="0.25">
      <c r="A46" s="170" t="s">
        <v>250</v>
      </c>
    </row>
    <row r="47" spans="1:1" x14ac:dyDescent="0.25">
      <c r="A47" s="170" t="s">
        <v>251</v>
      </c>
    </row>
    <row r="48" spans="1:1" x14ac:dyDescent="0.25">
      <c r="A48" s="170" t="s">
        <v>252</v>
      </c>
    </row>
    <row r="49" spans="1:1" x14ac:dyDescent="0.25">
      <c r="A49" s="170" t="s">
        <v>253</v>
      </c>
    </row>
    <row r="50" spans="1:1" x14ac:dyDescent="0.25">
      <c r="A50" s="170" t="s">
        <v>254</v>
      </c>
    </row>
    <row r="51" spans="1:1" x14ac:dyDescent="0.25">
      <c r="A51" s="170"/>
    </row>
    <row r="52" spans="1:1" x14ac:dyDescent="0.25">
      <c r="A52" s="169" t="s">
        <v>255</v>
      </c>
    </row>
    <row r="53" spans="1:1" x14ac:dyDescent="0.25">
      <c r="A53" s="176" t="s">
        <v>261</v>
      </c>
    </row>
    <row r="54" spans="1:1" x14ac:dyDescent="0.25">
      <c r="A54" s="170"/>
    </row>
    <row r="55" spans="1:1" x14ac:dyDescent="0.25">
      <c r="A55" s="169" t="s">
        <v>289</v>
      </c>
    </row>
    <row r="56" spans="1:1" ht="15.6" x14ac:dyDescent="0.3">
      <c r="A56" s="201" t="s">
        <v>290</v>
      </c>
    </row>
    <row r="57" spans="1:1" ht="15.6" x14ac:dyDescent="0.3">
      <c r="A57" s="201" t="s">
        <v>291</v>
      </c>
    </row>
    <row r="58" spans="1:1" ht="15.6" x14ac:dyDescent="0.3">
      <c r="A58" s="201" t="s">
        <v>292</v>
      </c>
    </row>
    <row r="59" spans="1:1" ht="15.6" x14ac:dyDescent="0.3">
      <c r="A59" s="201" t="s">
        <v>293</v>
      </c>
    </row>
    <row r="60" spans="1:1" ht="15.6" x14ac:dyDescent="0.3">
      <c r="A60" s="201" t="s">
        <v>294</v>
      </c>
    </row>
    <row r="61" spans="1:1" ht="15.6" x14ac:dyDescent="0.3">
      <c r="A61" s="201"/>
    </row>
    <row r="62" spans="1:1" ht="15.6" x14ac:dyDescent="0.3">
      <c r="A62" s="201" t="s">
        <v>295</v>
      </c>
    </row>
    <row r="63" spans="1:1" ht="15.6" x14ac:dyDescent="0.3">
      <c r="A63" s="201" t="s">
        <v>296</v>
      </c>
    </row>
    <row r="64" spans="1:1" ht="15.6" x14ac:dyDescent="0.3">
      <c r="A64" s="201" t="s">
        <v>297</v>
      </c>
    </row>
    <row r="65" spans="1:1" ht="15.6" x14ac:dyDescent="0.3">
      <c r="A65" s="201" t="s">
        <v>298</v>
      </c>
    </row>
    <row r="66" spans="1:1" ht="15.6" x14ac:dyDescent="0.3">
      <c r="A66" s="201" t="s">
        <v>299</v>
      </c>
    </row>
    <row r="67" spans="1:1" ht="15.6" x14ac:dyDescent="0.3">
      <c r="A67" s="201" t="s">
        <v>300</v>
      </c>
    </row>
    <row r="68" spans="1:1" ht="15.6" x14ac:dyDescent="0.3">
      <c r="A68" s="201"/>
    </row>
    <row r="69" spans="1:1" ht="15.6" x14ac:dyDescent="0.3">
      <c r="A69" s="201" t="s">
        <v>301</v>
      </c>
    </row>
    <row r="70" spans="1:1" ht="15.6" x14ac:dyDescent="0.3">
      <c r="A70" s="201" t="s">
        <v>302</v>
      </c>
    </row>
    <row r="71" spans="1:1" ht="15.6" x14ac:dyDescent="0.3">
      <c r="A71" s="201" t="s">
        <v>303</v>
      </c>
    </row>
    <row r="72" spans="1:1" ht="15.6" x14ac:dyDescent="0.3">
      <c r="A72" s="201" t="s">
        <v>304</v>
      </c>
    </row>
  </sheetData>
  <hyperlinks>
    <hyperlink ref="A53" r:id="rId1" xr:uid="{FCDB7A96-CBEE-4119-B4F2-8114645CC69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MinesBudgV1</vt:lpstr>
      <vt:lpstr>Input Tables</vt:lpstr>
      <vt:lpstr>Calculations Backup</vt:lpstr>
      <vt:lpstr>MinesBudgV1!Print_Area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Dehmlow</dc:creator>
  <cp:lastModifiedBy>Lauren Kitchen</cp:lastModifiedBy>
  <cp:lastPrinted>2021-06-09T18:36:34Z</cp:lastPrinted>
  <dcterms:created xsi:type="dcterms:W3CDTF">2001-05-25T22:18:46Z</dcterms:created>
  <dcterms:modified xsi:type="dcterms:W3CDTF">2023-07-28T18:27:28Z</dcterms:modified>
</cp:coreProperties>
</file>